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ublic Safety tax-" sheetId="1" r:id="rId1"/>
    <sheet name="Realignment 13-14" sheetId="2" r:id="rId2"/>
  </sheets>
  <externalReferences>
    <externalReference r:id="rId3"/>
  </externalReferences>
  <definedNames>
    <definedName name="charts">#REF!</definedName>
    <definedName name="page0304">'Public Safety tax-'!$A$57:$Q$95</definedName>
    <definedName name="page0809">'Public Safety tax-'!$A$130:$Q$165</definedName>
    <definedName name="page1" localSheetId="1">'Realignment 13-14'!$A$1:$I$24</definedName>
    <definedName name="page1">#REF!</definedName>
    <definedName name="PAGE2" localSheetId="1">'Realignment 13-14'!$A$38:$I$57</definedName>
    <definedName name="PAGE2">#REF!</definedName>
    <definedName name="PAGE3" localSheetId="1">'Realignment 13-14'!#REF!</definedName>
    <definedName name="PAGE3">#REF!</definedName>
    <definedName name="picture" localSheetId="0">'Public Safety tax-'!$A$1:$Q$55</definedName>
    <definedName name="picture">#REF!</definedName>
    <definedName name="_xlnm.Print_Area" localSheetId="0">'Public Safety tax-'!$A$206:$Q$265</definedName>
    <definedName name="_xlnm.Print_Area" localSheetId="1">'Realignment 13-14'!$A$1:$E$58</definedName>
    <definedName name="_xlnm.Print_Titles" localSheetId="1">'Realignment 13-14'!$1:$1</definedName>
    <definedName name="Z_940DA484_8834_4DAD_A426_1156B9D774D7_.wvu.PrintArea" localSheetId="0" hidden="1">'Public Safety tax-'!$A$1:$Q$55</definedName>
    <definedName name="Z_940DA484_8834_4DAD_A426_1156B9D774D7_.wvu.PrintTitles" localSheetId="1" hidden="1">'Realignment 13-14'!$1:$1</definedName>
    <definedName name="Z_B67B00E3_C114_47BC_ADC3_D78D3EE2E511_.wvu.PrintArea" localSheetId="0" hidden="1">'Public Safety tax-'!$A$1:$Q$55,'Public Safety tax-'!$A$57:$Q$95</definedName>
    <definedName name="Z_B67B00E3_C114_47BC_ADC3_D78D3EE2E511_.wvu.PrintTitles" localSheetId="1" hidden="1">'Realignment 13-14'!$1:$1</definedName>
  </definedNames>
  <calcPr calcId="145621"/>
</workbook>
</file>

<file path=xl/calcChain.xml><?xml version="1.0" encoding="utf-8"?>
<calcChain xmlns="http://schemas.openxmlformats.org/spreadsheetml/2006/main">
  <c r="Q82" i="2" l="1"/>
  <c r="P82" i="2"/>
  <c r="N82" i="2"/>
  <c r="M82" i="2"/>
  <c r="Q81" i="2"/>
  <c r="P81" i="2"/>
  <c r="N81" i="2"/>
  <c r="M81" i="2"/>
  <c r="R80" i="2"/>
  <c r="R82" i="2" s="1"/>
  <c r="R79" i="2"/>
  <c r="S77" i="2"/>
  <c r="P72" i="2"/>
  <c r="O72" i="2"/>
  <c r="Q70" i="2"/>
  <c r="P70" i="2"/>
  <c r="O70" i="2"/>
  <c r="N70" i="2"/>
  <c r="M70" i="2"/>
  <c r="N68" i="2"/>
  <c r="N67" i="2"/>
  <c r="M67" i="2"/>
  <c r="P66" i="2"/>
  <c r="M66" i="2"/>
  <c r="M64" i="2"/>
  <c r="O63" i="2"/>
  <c r="M60" i="2"/>
  <c r="C56" i="2"/>
  <c r="R55" i="2"/>
  <c r="P55" i="2"/>
  <c r="Q78" i="2" s="1"/>
  <c r="Q79" i="2" s="1"/>
  <c r="O55" i="2"/>
  <c r="P78" i="2" s="1"/>
  <c r="P79" i="2" s="1"/>
  <c r="N55" i="2"/>
  <c r="M55" i="2"/>
  <c r="L55" i="2"/>
  <c r="B56" i="2" s="1"/>
  <c r="D54" i="2"/>
  <c r="E54" i="2" s="1"/>
  <c r="D53" i="2"/>
  <c r="E53" i="2" s="1"/>
  <c r="S52" i="2"/>
  <c r="C52" i="2"/>
  <c r="S51" i="2"/>
  <c r="C51" i="2"/>
  <c r="S50" i="2"/>
  <c r="C50" i="2"/>
  <c r="S49" i="2"/>
  <c r="O68" i="2" s="1"/>
  <c r="C49" i="2"/>
  <c r="S48" i="2"/>
  <c r="P67" i="2" s="1"/>
  <c r="D48" i="2"/>
  <c r="E48" i="2" s="1"/>
  <c r="C48" i="2"/>
  <c r="S47" i="2"/>
  <c r="O66" i="2" s="1"/>
  <c r="C47" i="2"/>
  <c r="D47" i="2" s="1"/>
  <c r="E47" i="2" s="1"/>
  <c r="Q46" i="2"/>
  <c r="Q55" i="2" s="1"/>
  <c r="C46" i="2"/>
  <c r="S45" i="2"/>
  <c r="C45" i="2"/>
  <c r="B45" i="2"/>
  <c r="D45" i="2" s="1"/>
  <c r="E45" i="2" s="1"/>
  <c r="S44" i="2"/>
  <c r="N63" i="2" s="1"/>
  <c r="C44" i="2"/>
  <c r="B44" i="2"/>
  <c r="S43" i="2"/>
  <c r="R62" i="2" s="1"/>
  <c r="R59" i="2" s="1"/>
  <c r="C43" i="2"/>
  <c r="S42" i="2"/>
  <c r="O61" i="2" s="1"/>
  <c r="C42" i="2"/>
  <c r="S41" i="2"/>
  <c r="B41" i="2" s="1"/>
  <c r="C41" i="2"/>
  <c r="C40" i="2"/>
  <c r="B40" i="2"/>
  <c r="Q32" i="2"/>
  <c r="P31" i="2"/>
  <c r="O30" i="2"/>
  <c r="I30" i="2"/>
  <c r="H30" i="2"/>
  <c r="H29" i="2"/>
  <c r="I29" i="2" s="1"/>
  <c r="H28" i="2"/>
  <c r="I28" i="2" s="1"/>
  <c r="I31" i="2" s="1"/>
  <c r="C22" i="2"/>
  <c r="R20" i="2"/>
  <c r="O20" i="2"/>
  <c r="M78" i="2" s="1"/>
  <c r="M79" i="2" s="1"/>
  <c r="N20" i="2"/>
  <c r="M20" i="2"/>
  <c r="L78" i="2" s="1"/>
  <c r="L20" i="2"/>
  <c r="B22" i="2" s="1"/>
  <c r="D20" i="2"/>
  <c r="E20" i="2" s="1"/>
  <c r="D19" i="2"/>
  <c r="E19" i="2" s="1"/>
  <c r="S18" i="2"/>
  <c r="Q36" i="2" s="1"/>
  <c r="C18" i="2"/>
  <c r="S17" i="2"/>
  <c r="O35" i="2" s="1"/>
  <c r="C17" i="2"/>
  <c r="S16" i="2"/>
  <c r="C16" i="2"/>
  <c r="S15" i="2"/>
  <c r="C15" i="2"/>
  <c r="S14" i="2"/>
  <c r="M32" i="2" s="1"/>
  <c r="C14" i="2"/>
  <c r="S13" i="2"/>
  <c r="C13" i="2"/>
  <c r="S12" i="2"/>
  <c r="N30" i="2" s="1"/>
  <c r="C12" i="2"/>
  <c r="Q11" i="2"/>
  <c r="S11" i="2" s="1"/>
  <c r="C11" i="2"/>
  <c r="S10" i="2"/>
  <c r="O28" i="2" s="1"/>
  <c r="C10" i="2"/>
  <c r="B10" i="2"/>
  <c r="D10" i="2" s="1"/>
  <c r="E10" i="2" s="1"/>
  <c r="P9" i="2"/>
  <c r="C9" i="2"/>
  <c r="S8" i="2"/>
  <c r="C8" i="2"/>
  <c r="S7" i="2"/>
  <c r="P25" i="2" s="1"/>
  <c r="C7" i="2"/>
  <c r="D4" i="2"/>
  <c r="C260" i="1"/>
  <c r="E259" i="1"/>
  <c r="F259" i="1" s="1"/>
  <c r="D258" i="1"/>
  <c r="E258" i="1" s="1"/>
  <c r="F258" i="1" s="1"/>
  <c r="D257" i="1"/>
  <c r="E257" i="1" s="1"/>
  <c r="F257" i="1" s="1"/>
  <c r="D256" i="1"/>
  <c r="E256" i="1" s="1"/>
  <c r="F256" i="1" s="1"/>
  <c r="D255" i="1"/>
  <c r="E255" i="1" s="1"/>
  <c r="F255" i="1" s="1"/>
  <c r="D254" i="1"/>
  <c r="E254" i="1" s="1"/>
  <c r="F254" i="1" s="1"/>
  <c r="D253" i="1"/>
  <c r="E253" i="1" s="1"/>
  <c r="F253" i="1" s="1"/>
  <c r="E252" i="1"/>
  <c r="F252" i="1" s="1"/>
  <c r="D252" i="1"/>
  <c r="D251" i="1"/>
  <c r="E251" i="1" s="1"/>
  <c r="F251" i="1" s="1"/>
  <c r="E250" i="1"/>
  <c r="F250" i="1" s="1"/>
  <c r="D250" i="1"/>
  <c r="D249" i="1"/>
  <c r="E249" i="1" s="1"/>
  <c r="F249" i="1" s="1"/>
  <c r="D248" i="1"/>
  <c r="E248" i="1" s="1"/>
  <c r="F248" i="1" s="1"/>
  <c r="D247" i="1"/>
  <c r="C241" i="1"/>
  <c r="E240" i="1"/>
  <c r="F240" i="1" s="1"/>
  <c r="D239" i="1"/>
  <c r="E239" i="1" s="1"/>
  <c r="F239" i="1" s="1"/>
  <c r="D238" i="1"/>
  <c r="E238" i="1" s="1"/>
  <c r="F238" i="1" s="1"/>
  <c r="D237" i="1"/>
  <c r="E237" i="1" s="1"/>
  <c r="F237" i="1" s="1"/>
  <c r="D236" i="1"/>
  <c r="E236" i="1" s="1"/>
  <c r="F236" i="1" s="1"/>
  <c r="D235" i="1"/>
  <c r="E235" i="1" s="1"/>
  <c r="F235" i="1" s="1"/>
  <c r="D234" i="1"/>
  <c r="E234" i="1" s="1"/>
  <c r="F234" i="1" s="1"/>
  <c r="E233" i="1"/>
  <c r="F233" i="1" s="1"/>
  <c r="D233" i="1"/>
  <c r="D232" i="1"/>
  <c r="E232" i="1" s="1"/>
  <c r="F232" i="1" s="1"/>
  <c r="E231" i="1"/>
  <c r="F231" i="1" s="1"/>
  <c r="D231" i="1"/>
  <c r="D230" i="1"/>
  <c r="E230" i="1" s="1"/>
  <c r="F230" i="1" s="1"/>
  <c r="D229" i="1"/>
  <c r="E229" i="1" s="1"/>
  <c r="F229" i="1" s="1"/>
  <c r="D228" i="1"/>
  <c r="C222" i="1"/>
  <c r="E221" i="1"/>
  <c r="F221" i="1" s="1"/>
  <c r="E220" i="1"/>
  <c r="F220" i="1" s="1"/>
  <c r="D220" i="1"/>
  <c r="D219" i="1"/>
  <c r="E219" i="1" s="1"/>
  <c r="F219" i="1" s="1"/>
  <c r="D218" i="1"/>
  <c r="E218" i="1" s="1"/>
  <c r="F218" i="1" s="1"/>
  <c r="D217" i="1"/>
  <c r="E217" i="1" s="1"/>
  <c r="F217" i="1" s="1"/>
  <c r="D216" i="1"/>
  <c r="E216" i="1" s="1"/>
  <c r="F216" i="1" s="1"/>
  <c r="D215" i="1"/>
  <c r="E215" i="1" s="1"/>
  <c r="F215" i="1" s="1"/>
  <c r="E214" i="1"/>
  <c r="F214" i="1" s="1"/>
  <c r="D214" i="1"/>
  <c r="D213" i="1"/>
  <c r="E213" i="1" s="1"/>
  <c r="F213" i="1" s="1"/>
  <c r="D212" i="1"/>
  <c r="E212" i="1" s="1"/>
  <c r="F212" i="1" s="1"/>
  <c r="D211" i="1"/>
  <c r="E211" i="1" s="1"/>
  <c r="F211" i="1" s="1"/>
  <c r="D210" i="1"/>
  <c r="E210" i="1" s="1"/>
  <c r="F210" i="1" s="1"/>
  <c r="D209" i="1"/>
  <c r="C203" i="1"/>
  <c r="E202" i="1"/>
  <c r="F202" i="1" s="1"/>
  <c r="D201" i="1"/>
  <c r="E201" i="1" s="1"/>
  <c r="F201" i="1" s="1"/>
  <c r="D200" i="1"/>
  <c r="E200" i="1" s="1"/>
  <c r="F200" i="1" s="1"/>
  <c r="D199" i="1"/>
  <c r="E199" i="1" s="1"/>
  <c r="F199" i="1" s="1"/>
  <c r="F198" i="1"/>
  <c r="D198" i="1"/>
  <c r="E198" i="1" s="1"/>
  <c r="D197" i="1"/>
  <c r="E197" i="1" s="1"/>
  <c r="F197" i="1" s="1"/>
  <c r="D196" i="1"/>
  <c r="E196" i="1" s="1"/>
  <c r="F196" i="1" s="1"/>
  <c r="D195" i="1"/>
  <c r="E195" i="1" s="1"/>
  <c r="F195" i="1" s="1"/>
  <c r="D194" i="1"/>
  <c r="E194" i="1" s="1"/>
  <c r="F194" i="1" s="1"/>
  <c r="D193" i="1"/>
  <c r="E193" i="1" s="1"/>
  <c r="F193" i="1" s="1"/>
  <c r="D192" i="1"/>
  <c r="E192" i="1" s="1"/>
  <c r="F192" i="1" s="1"/>
  <c r="D191" i="1"/>
  <c r="E191" i="1" s="1"/>
  <c r="F191" i="1" s="1"/>
  <c r="D190" i="1"/>
  <c r="C184" i="1"/>
  <c r="B182" i="1" s="1"/>
  <c r="E183" i="1"/>
  <c r="F183" i="1" s="1"/>
  <c r="D181" i="1"/>
  <c r="E181" i="1" s="1"/>
  <c r="F181" i="1" s="1"/>
  <c r="B181" i="1"/>
  <c r="D180" i="1"/>
  <c r="E180" i="1" s="1"/>
  <c r="F180" i="1" s="1"/>
  <c r="B180" i="1"/>
  <c r="E179" i="1"/>
  <c r="F179" i="1" s="1"/>
  <c r="D179" i="1"/>
  <c r="B179" i="1"/>
  <c r="E178" i="1"/>
  <c r="F178" i="1" s="1"/>
  <c r="D178" i="1"/>
  <c r="D177" i="1"/>
  <c r="E177" i="1" s="1"/>
  <c r="F177" i="1" s="1"/>
  <c r="B177" i="1"/>
  <c r="D176" i="1"/>
  <c r="E176" i="1" s="1"/>
  <c r="F176" i="1" s="1"/>
  <c r="B176" i="1"/>
  <c r="E175" i="1"/>
  <c r="F175" i="1" s="1"/>
  <c r="D175" i="1"/>
  <c r="B175" i="1"/>
  <c r="D174" i="1"/>
  <c r="E174" i="1" s="1"/>
  <c r="F174" i="1" s="1"/>
  <c r="E173" i="1"/>
  <c r="F173" i="1" s="1"/>
  <c r="D173" i="1"/>
  <c r="B173" i="1"/>
  <c r="D172" i="1"/>
  <c r="E172" i="1" s="1"/>
  <c r="F172" i="1" s="1"/>
  <c r="B172" i="1"/>
  <c r="E171" i="1"/>
  <c r="D171" i="1"/>
  <c r="B171" i="1"/>
  <c r="F164" i="1"/>
  <c r="E164" i="1"/>
  <c r="D163" i="1"/>
  <c r="C163" i="1"/>
  <c r="D182" i="1" s="1"/>
  <c r="E182" i="1" s="1"/>
  <c r="F182" i="1" s="1"/>
  <c r="E162" i="1"/>
  <c r="F162" i="1" s="1"/>
  <c r="D162" i="1"/>
  <c r="D161" i="1"/>
  <c r="E161" i="1" s="1"/>
  <c r="F161" i="1" s="1"/>
  <c r="D160" i="1"/>
  <c r="E160" i="1" s="1"/>
  <c r="F160" i="1" s="1"/>
  <c r="D159" i="1"/>
  <c r="E159" i="1" s="1"/>
  <c r="F159" i="1" s="1"/>
  <c r="D158" i="1"/>
  <c r="E158" i="1" s="1"/>
  <c r="F158" i="1" s="1"/>
  <c r="D157" i="1"/>
  <c r="E157" i="1" s="1"/>
  <c r="F157" i="1" s="1"/>
  <c r="E156" i="1"/>
  <c r="F156" i="1" s="1"/>
  <c r="D156" i="1"/>
  <c r="E155" i="1"/>
  <c r="F155" i="1" s="1"/>
  <c r="D155" i="1"/>
  <c r="E154" i="1"/>
  <c r="F154" i="1" s="1"/>
  <c r="D154" i="1"/>
  <c r="E153" i="1"/>
  <c r="F153" i="1" s="1"/>
  <c r="D153" i="1"/>
  <c r="E152" i="1"/>
  <c r="F152" i="1" s="1"/>
  <c r="D152" i="1"/>
  <c r="C146" i="1"/>
  <c r="F145" i="1"/>
  <c r="E145" i="1"/>
  <c r="F144" i="1"/>
  <c r="D144" i="1"/>
  <c r="E144" i="1" s="1"/>
  <c r="D143" i="1"/>
  <c r="E143" i="1" s="1"/>
  <c r="F143" i="1" s="1"/>
  <c r="F142" i="1"/>
  <c r="D142" i="1"/>
  <c r="E142" i="1" s="1"/>
  <c r="D141" i="1"/>
  <c r="E141" i="1" s="1"/>
  <c r="F141" i="1" s="1"/>
  <c r="F140" i="1"/>
  <c r="D140" i="1"/>
  <c r="E140" i="1" s="1"/>
  <c r="D139" i="1"/>
  <c r="E139" i="1" s="1"/>
  <c r="F139" i="1" s="1"/>
  <c r="D138" i="1"/>
  <c r="E138" i="1" s="1"/>
  <c r="F138" i="1" s="1"/>
  <c r="D137" i="1"/>
  <c r="E137" i="1" s="1"/>
  <c r="F137" i="1" s="1"/>
  <c r="F136" i="1"/>
  <c r="D136" i="1"/>
  <c r="E136" i="1" s="1"/>
  <c r="D135" i="1"/>
  <c r="E135" i="1" s="1"/>
  <c r="F135" i="1" s="1"/>
  <c r="F134" i="1"/>
  <c r="D134" i="1"/>
  <c r="E134" i="1" s="1"/>
  <c r="D133" i="1"/>
  <c r="C127" i="1"/>
  <c r="B124" i="1" s="1"/>
  <c r="E126" i="1"/>
  <c r="F126" i="1" s="1"/>
  <c r="D125" i="1"/>
  <c r="E125" i="1" s="1"/>
  <c r="F125" i="1" s="1"/>
  <c r="E124" i="1"/>
  <c r="F124" i="1" s="1"/>
  <c r="D124" i="1"/>
  <c r="D123" i="1"/>
  <c r="E123" i="1" s="1"/>
  <c r="F123" i="1" s="1"/>
  <c r="E122" i="1"/>
  <c r="F122" i="1" s="1"/>
  <c r="D122" i="1"/>
  <c r="D121" i="1"/>
  <c r="E121" i="1" s="1"/>
  <c r="F121" i="1" s="1"/>
  <c r="E120" i="1"/>
  <c r="F120" i="1" s="1"/>
  <c r="D120" i="1"/>
  <c r="B120" i="1"/>
  <c r="E119" i="1"/>
  <c r="F119" i="1" s="1"/>
  <c r="D119" i="1"/>
  <c r="D118" i="1"/>
  <c r="E118" i="1" s="1"/>
  <c r="F118" i="1" s="1"/>
  <c r="D117" i="1"/>
  <c r="E117" i="1" s="1"/>
  <c r="F117" i="1" s="1"/>
  <c r="E116" i="1"/>
  <c r="F116" i="1" s="1"/>
  <c r="D116" i="1"/>
  <c r="D115" i="1"/>
  <c r="D127" i="1" s="1"/>
  <c r="E114" i="1"/>
  <c r="D114" i="1"/>
  <c r="C109" i="1"/>
  <c r="B107" i="1" s="1"/>
  <c r="F108" i="1"/>
  <c r="E108" i="1"/>
  <c r="F107" i="1"/>
  <c r="D107" i="1"/>
  <c r="E107" i="1" s="1"/>
  <c r="D106" i="1"/>
  <c r="E106" i="1" s="1"/>
  <c r="F106" i="1" s="1"/>
  <c r="B106" i="1"/>
  <c r="D105" i="1"/>
  <c r="E105" i="1" s="1"/>
  <c r="F105" i="1" s="1"/>
  <c r="B105" i="1"/>
  <c r="F104" i="1"/>
  <c r="D104" i="1"/>
  <c r="E104" i="1" s="1"/>
  <c r="B104" i="1"/>
  <c r="D103" i="1"/>
  <c r="E103" i="1" s="1"/>
  <c r="F103" i="1" s="1"/>
  <c r="B103" i="1"/>
  <c r="D102" i="1"/>
  <c r="E102" i="1" s="1"/>
  <c r="F102" i="1" s="1"/>
  <c r="B102" i="1"/>
  <c r="D101" i="1"/>
  <c r="E101" i="1" s="1"/>
  <c r="F101" i="1" s="1"/>
  <c r="B101" i="1"/>
  <c r="F100" i="1"/>
  <c r="D100" i="1"/>
  <c r="E100" i="1" s="1"/>
  <c r="B100" i="1"/>
  <c r="F99" i="1"/>
  <c r="D99" i="1"/>
  <c r="E99" i="1" s="1"/>
  <c r="B99" i="1"/>
  <c r="D98" i="1"/>
  <c r="E98" i="1" s="1"/>
  <c r="F98" i="1" s="1"/>
  <c r="B98" i="1"/>
  <c r="D97" i="1"/>
  <c r="B97" i="1"/>
  <c r="F96" i="1"/>
  <c r="E96" i="1"/>
  <c r="B96" i="1"/>
  <c r="C91" i="1"/>
  <c r="F90" i="1"/>
  <c r="E90" i="1"/>
  <c r="D89" i="1"/>
  <c r="E89" i="1" s="1"/>
  <c r="F89" i="1" s="1"/>
  <c r="D88" i="1"/>
  <c r="E88" i="1" s="1"/>
  <c r="F88" i="1" s="1"/>
  <c r="F87" i="1"/>
  <c r="E87" i="1"/>
  <c r="D87" i="1"/>
  <c r="D86" i="1"/>
  <c r="E86" i="1" s="1"/>
  <c r="F86" i="1" s="1"/>
  <c r="D85" i="1"/>
  <c r="E85" i="1" s="1"/>
  <c r="F85" i="1" s="1"/>
  <c r="D84" i="1"/>
  <c r="E84" i="1" s="1"/>
  <c r="F84" i="1" s="1"/>
  <c r="D83" i="1"/>
  <c r="E83" i="1" s="1"/>
  <c r="F83" i="1" s="1"/>
  <c r="B83" i="1"/>
  <c r="E82" i="1"/>
  <c r="F82" i="1" s="1"/>
  <c r="D82" i="1"/>
  <c r="B82" i="1"/>
  <c r="E81" i="1"/>
  <c r="F81" i="1" s="1"/>
  <c r="D81" i="1"/>
  <c r="B81" i="1"/>
  <c r="D80" i="1"/>
  <c r="E80" i="1" s="1"/>
  <c r="F80" i="1" s="1"/>
  <c r="B80" i="1"/>
  <c r="D79" i="1"/>
  <c r="E79" i="1" s="1"/>
  <c r="F79" i="1" s="1"/>
  <c r="B79" i="1"/>
  <c r="E78" i="1"/>
  <c r="F78" i="1" s="1"/>
  <c r="B78" i="1"/>
  <c r="C73" i="1"/>
  <c r="F72" i="1"/>
  <c r="E72" i="1"/>
  <c r="D71" i="1"/>
  <c r="E71" i="1" s="1"/>
  <c r="F71" i="1" s="1"/>
  <c r="D70" i="1"/>
  <c r="E70" i="1" s="1"/>
  <c r="F70" i="1" s="1"/>
  <c r="B70" i="1"/>
  <c r="D69" i="1"/>
  <c r="E69" i="1" s="1"/>
  <c r="F69" i="1" s="1"/>
  <c r="D68" i="1"/>
  <c r="E68" i="1" s="1"/>
  <c r="F68" i="1" s="1"/>
  <c r="B68" i="1"/>
  <c r="D67" i="1"/>
  <c r="E67" i="1" s="1"/>
  <c r="F67" i="1" s="1"/>
  <c r="D66" i="1"/>
  <c r="E66" i="1" s="1"/>
  <c r="F66" i="1" s="1"/>
  <c r="D65" i="1"/>
  <c r="E65" i="1" s="1"/>
  <c r="F65" i="1" s="1"/>
  <c r="D64" i="1"/>
  <c r="E64" i="1" s="1"/>
  <c r="F64" i="1" s="1"/>
  <c r="D63" i="1"/>
  <c r="E63" i="1" s="1"/>
  <c r="F63" i="1" s="1"/>
  <c r="D62" i="1"/>
  <c r="E62" i="1" s="1"/>
  <c r="F62" i="1" s="1"/>
  <c r="B62" i="1"/>
  <c r="D61" i="1"/>
  <c r="E61" i="1" s="1"/>
  <c r="F61" i="1" s="1"/>
  <c r="D60" i="1"/>
  <c r="B60" i="1"/>
  <c r="D55" i="1"/>
  <c r="C55" i="1"/>
  <c r="B46" i="1" s="1"/>
  <c r="E54" i="1"/>
  <c r="F54" i="1" s="1"/>
  <c r="D53" i="1"/>
  <c r="E53" i="1" s="1"/>
  <c r="F53" i="1" s="1"/>
  <c r="B53" i="1"/>
  <c r="D52" i="1"/>
  <c r="E52" i="1" s="1"/>
  <c r="F52" i="1" s="1"/>
  <c r="B52" i="1"/>
  <c r="D51" i="1"/>
  <c r="E51" i="1" s="1"/>
  <c r="F51" i="1" s="1"/>
  <c r="B51" i="1"/>
  <c r="D50" i="1"/>
  <c r="E50" i="1" s="1"/>
  <c r="F50" i="1" s="1"/>
  <c r="B50" i="1"/>
  <c r="D49" i="1"/>
  <c r="E49" i="1" s="1"/>
  <c r="F49" i="1" s="1"/>
  <c r="B49" i="1"/>
  <c r="D48" i="1"/>
  <c r="E48" i="1" s="1"/>
  <c r="F48" i="1" s="1"/>
  <c r="B48" i="1"/>
  <c r="E47" i="1"/>
  <c r="F47" i="1" s="1"/>
  <c r="B47" i="1"/>
  <c r="E46" i="1"/>
  <c r="F46" i="1" s="1"/>
  <c r="E45" i="1"/>
  <c r="F45" i="1" s="1"/>
  <c r="B45" i="1"/>
  <c r="E44" i="1"/>
  <c r="F44" i="1" s="1"/>
  <c r="B44" i="1"/>
  <c r="F43" i="1"/>
  <c r="E43" i="1"/>
  <c r="B43" i="1"/>
  <c r="E42" i="1"/>
  <c r="F42" i="1" s="1"/>
  <c r="C37" i="1"/>
  <c r="E36" i="1"/>
  <c r="F36" i="1" s="1"/>
  <c r="D35" i="1"/>
  <c r="B35" i="1"/>
  <c r="E34" i="1"/>
  <c r="F34" i="1" s="1"/>
  <c r="B34" i="1"/>
  <c r="F33" i="1"/>
  <c r="E33" i="1"/>
  <c r="B33" i="1"/>
  <c r="E32" i="1"/>
  <c r="F32" i="1" s="1"/>
  <c r="B32" i="1"/>
  <c r="E31" i="1"/>
  <c r="F31" i="1" s="1"/>
  <c r="B31" i="1"/>
  <c r="E30" i="1"/>
  <c r="F30" i="1" s="1"/>
  <c r="B30" i="1"/>
  <c r="E29" i="1"/>
  <c r="F29" i="1" s="1"/>
  <c r="B29" i="1"/>
  <c r="E28" i="1"/>
  <c r="F28" i="1" s="1"/>
  <c r="B28" i="1"/>
  <c r="E27" i="1"/>
  <c r="F27" i="1" s="1"/>
  <c r="B27" i="1"/>
  <c r="E26" i="1"/>
  <c r="F26" i="1" s="1"/>
  <c r="B26" i="1"/>
  <c r="F25" i="1"/>
  <c r="E25" i="1"/>
  <c r="B25" i="1"/>
  <c r="E24" i="1"/>
  <c r="F24" i="1" s="1"/>
  <c r="B24" i="1"/>
  <c r="D19" i="1"/>
  <c r="C19" i="1"/>
  <c r="F18" i="1"/>
  <c r="E18" i="1"/>
  <c r="E17" i="1"/>
  <c r="F17" i="1" s="1"/>
  <c r="B17" i="1"/>
  <c r="F16" i="1"/>
  <c r="E16" i="1"/>
  <c r="B16" i="1"/>
  <c r="E15" i="1"/>
  <c r="F15" i="1" s="1"/>
  <c r="E14" i="1"/>
  <c r="F14" i="1" s="1"/>
  <c r="B14" i="1"/>
  <c r="E13" i="1"/>
  <c r="F13" i="1" s="1"/>
  <c r="E12" i="1"/>
  <c r="F12" i="1" s="1"/>
  <c r="B12" i="1"/>
  <c r="E11" i="1"/>
  <c r="F11" i="1" s="1"/>
  <c r="B11" i="1"/>
  <c r="F10" i="1"/>
  <c r="E10" i="1"/>
  <c r="B10" i="1"/>
  <c r="E9" i="1"/>
  <c r="F9" i="1" s="1"/>
  <c r="B9" i="1"/>
  <c r="E8" i="1"/>
  <c r="F8" i="1" s="1"/>
  <c r="B8" i="1"/>
  <c r="F7" i="1"/>
  <c r="E7" i="1"/>
  <c r="B7" i="1"/>
  <c r="E6" i="1"/>
  <c r="B6" i="1"/>
  <c r="D22" i="2" l="1"/>
  <c r="E22" i="2" s="1"/>
  <c r="B73" i="1"/>
  <c r="B71" i="1"/>
  <c r="B69" i="1"/>
  <c r="B67" i="1"/>
  <c r="B65" i="1"/>
  <c r="B63" i="1"/>
  <c r="B61" i="1"/>
  <c r="B114" i="1"/>
  <c r="B117" i="1"/>
  <c r="B122" i="1"/>
  <c r="B125" i="1"/>
  <c r="P34" i="2"/>
  <c r="N34" i="2"/>
  <c r="M34" i="2"/>
  <c r="B16" i="2"/>
  <c r="D16" i="2" s="1"/>
  <c r="E16" i="2" s="1"/>
  <c r="E19" i="1"/>
  <c r="F19" i="1" s="1"/>
  <c r="B15" i="1"/>
  <c r="B19" i="1" s="1"/>
  <c r="B13" i="1"/>
  <c r="B66" i="1"/>
  <c r="B116" i="1"/>
  <c r="D184" i="1"/>
  <c r="N31" i="2"/>
  <c r="O31" i="2"/>
  <c r="B13" i="2"/>
  <c r="B43" i="2"/>
  <c r="D43" i="2" s="1"/>
  <c r="E43" i="2" s="1"/>
  <c r="R72" i="2"/>
  <c r="B52" i="2"/>
  <c r="D52" i="2" s="1"/>
  <c r="E52" i="2" s="1"/>
  <c r="B123" i="1"/>
  <c r="B119" i="1"/>
  <c r="B115" i="1"/>
  <c r="C165" i="1"/>
  <c r="B163" i="1" s="1"/>
  <c r="N25" i="2"/>
  <c r="B7" i="2"/>
  <c r="P62" i="2"/>
  <c r="M62" i="2"/>
  <c r="E115" i="1"/>
  <c r="F115" i="1" s="1"/>
  <c r="E163" i="1"/>
  <c r="F163" i="1" s="1"/>
  <c r="D13" i="2"/>
  <c r="E13" i="2" s="1"/>
  <c r="Q34" i="2"/>
  <c r="N62" i="2"/>
  <c r="B64" i="1"/>
  <c r="B118" i="1"/>
  <c r="B121" i="1"/>
  <c r="M28" i="2"/>
  <c r="N28" i="2"/>
  <c r="N35" i="2"/>
  <c r="P35" i="2"/>
  <c r="B17" i="2"/>
  <c r="O25" i="2"/>
  <c r="B42" i="2"/>
  <c r="D42" i="2" s="1"/>
  <c r="E42" i="2" s="1"/>
  <c r="Q68" i="2"/>
  <c r="B49" i="2"/>
  <c r="D49" i="2" s="1"/>
  <c r="E49" i="2" s="1"/>
  <c r="R68" i="2"/>
  <c r="P30" i="2"/>
  <c r="D44" i="2"/>
  <c r="E44" i="2" s="1"/>
  <c r="Q67" i="2"/>
  <c r="B174" i="1"/>
  <c r="B184" i="1" s="1"/>
  <c r="B178" i="1"/>
  <c r="C21" i="2"/>
  <c r="C23" i="2" s="1"/>
  <c r="B12" i="2"/>
  <c r="D12" i="2" s="1"/>
  <c r="E12" i="2" s="1"/>
  <c r="D17" i="2"/>
  <c r="E17" i="2" s="1"/>
  <c r="C55" i="2"/>
  <c r="C57" i="2" s="1"/>
  <c r="P63" i="2"/>
  <c r="Q66" i="2"/>
  <c r="R67" i="2"/>
  <c r="N29" i="2"/>
  <c r="M29" i="2"/>
  <c r="O29" i="2"/>
  <c r="B11" i="2"/>
  <c r="D11" i="2" s="1"/>
  <c r="E11" i="2" s="1"/>
  <c r="P29" i="2"/>
  <c r="S34" i="2"/>
  <c r="M26" i="2"/>
  <c r="P26" i="2"/>
  <c r="S9" i="2"/>
  <c r="P27" i="2" s="1"/>
  <c r="N33" i="2"/>
  <c r="Q33" i="2"/>
  <c r="M33" i="2"/>
  <c r="P36" i="2"/>
  <c r="O36" i="2"/>
  <c r="P20" i="2"/>
  <c r="R69" i="2"/>
  <c r="N69" i="2"/>
  <c r="Q69" i="2"/>
  <c r="M69" i="2"/>
  <c r="P69" i="2"/>
  <c r="Q71" i="2"/>
  <c r="M71" i="2"/>
  <c r="O71" i="2"/>
  <c r="P71" i="2"/>
  <c r="S70" i="2"/>
  <c r="B15" i="2"/>
  <c r="D15" i="2" s="1"/>
  <c r="E15" i="2" s="1"/>
  <c r="L80" i="2"/>
  <c r="L79" i="2"/>
  <c r="N26" i="2"/>
  <c r="H31" i="2"/>
  <c r="O33" i="2"/>
  <c r="M36" i="2"/>
  <c r="P60" i="2"/>
  <c r="O60" i="2"/>
  <c r="N60" i="2"/>
  <c r="S60" i="2" s="1"/>
  <c r="N61" i="2"/>
  <c r="R61" i="2"/>
  <c r="M61" i="2"/>
  <c r="P61" i="2"/>
  <c r="P64" i="2"/>
  <c r="O64" i="2"/>
  <c r="N64" i="2"/>
  <c r="S46" i="2"/>
  <c r="B51" i="2"/>
  <c r="D51" i="2" s="1"/>
  <c r="E51" i="2" s="1"/>
  <c r="D56" i="2"/>
  <c r="E56" i="2" s="1"/>
  <c r="R60" i="2"/>
  <c r="R64" i="2"/>
  <c r="N71" i="2"/>
  <c r="Q29" i="2"/>
  <c r="Q20" i="2"/>
  <c r="D41" i="2"/>
  <c r="D7" i="2"/>
  <c r="P32" i="2"/>
  <c r="O32" i="2"/>
  <c r="B8" i="2"/>
  <c r="B14" i="2"/>
  <c r="D14" i="2" s="1"/>
  <c r="E14" i="2" s="1"/>
  <c r="B18" i="2"/>
  <c r="D18" i="2" s="1"/>
  <c r="E18" i="2" s="1"/>
  <c r="O26" i="2"/>
  <c r="N32" i="2"/>
  <c r="S32" i="2" s="1"/>
  <c r="P33" i="2"/>
  <c r="N36" i="2"/>
  <c r="B50" i="2"/>
  <c r="D50" i="2" s="1"/>
  <c r="E50" i="2" s="1"/>
  <c r="O78" i="2"/>
  <c r="S55" i="2"/>
  <c r="N58" i="2" s="1"/>
  <c r="N59" i="2" s="1"/>
  <c r="O69" i="2"/>
  <c r="R71" i="2"/>
  <c r="M25" i="2"/>
  <c r="P28" i="2"/>
  <c r="S28" i="2" s="1"/>
  <c r="M30" i="2"/>
  <c r="Q30" i="2"/>
  <c r="M31" i="2"/>
  <c r="Q31" i="2"/>
  <c r="O34" i="2"/>
  <c r="M35" i="2"/>
  <c r="Q35" i="2"/>
  <c r="O62" i="2"/>
  <c r="M63" i="2"/>
  <c r="R63" i="2"/>
  <c r="N66" i="2"/>
  <c r="R66" i="2"/>
  <c r="O67" i="2"/>
  <c r="S67" i="2" s="1"/>
  <c r="P68" i="2"/>
  <c r="M72" i="2"/>
  <c r="Q72" i="2"/>
  <c r="M68" i="2"/>
  <c r="N72" i="2"/>
  <c r="R81" i="2"/>
  <c r="F6" i="1"/>
  <c r="E91" i="1"/>
  <c r="F91" i="1" s="1"/>
  <c r="B37" i="1"/>
  <c r="B159" i="1"/>
  <c r="B155" i="1"/>
  <c r="B158" i="1"/>
  <c r="B154" i="1"/>
  <c r="E247" i="1"/>
  <c r="D260" i="1"/>
  <c r="E60" i="1"/>
  <c r="D73" i="1"/>
  <c r="D37" i="1"/>
  <c r="E35" i="1"/>
  <c r="F35" i="1" s="1"/>
  <c r="B201" i="1"/>
  <c r="B200" i="1"/>
  <c r="B199" i="1"/>
  <c r="B198" i="1"/>
  <c r="B197" i="1"/>
  <c r="B196" i="1"/>
  <c r="B195" i="1"/>
  <c r="B194" i="1"/>
  <c r="B193" i="1"/>
  <c r="B192" i="1"/>
  <c r="B191" i="1"/>
  <c r="B190" i="1"/>
  <c r="F171" i="1"/>
  <c r="E184" i="1"/>
  <c r="E55" i="1"/>
  <c r="F55" i="1" s="1"/>
  <c r="D109" i="1"/>
  <c r="E97" i="1"/>
  <c r="E16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09" i="1"/>
  <c r="E133" i="1"/>
  <c r="D146" i="1"/>
  <c r="D241" i="1"/>
  <c r="E228" i="1"/>
  <c r="B42" i="1"/>
  <c r="B55" i="1" s="1"/>
  <c r="D91" i="1"/>
  <c r="B89" i="1"/>
  <c r="B88" i="1"/>
  <c r="B87" i="1"/>
  <c r="B86" i="1"/>
  <c r="B85" i="1"/>
  <c r="B84" i="1"/>
  <c r="E127" i="1"/>
  <c r="F127" i="1" s="1"/>
  <c r="F114" i="1"/>
  <c r="D165" i="1"/>
  <c r="D203" i="1"/>
  <c r="E190" i="1"/>
  <c r="E209" i="1"/>
  <c r="D222" i="1"/>
  <c r="B127" i="1" l="1"/>
  <c r="F184" i="1"/>
  <c r="B152" i="1"/>
  <c r="S20" i="2"/>
  <c r="S69" i="2"/>
  <c r="B91" i="1"/>
  <c r="B157" i="1"/>
  <c r="B161" i="1"/>
  <c r="B153" i="1"/>
  <c r="B162" i="1"/>
  <c r="B160" i="1"/>
  <c r="B156" i="1"/>
  <c r="B165" i="1" s="1"/>
  <c r="S66" i="2"/>
  <c r="S25" i="2"/>
  <c r="S64" i="2"/>
  <c r="N78" i="2"/>
  <c r="S72" i="2"/>
  <c r="S31" i="2"/>
  <c r="M58" i="2"/>
  <c r="D8" i="2"/>
  <c r="E8" i="2" s="1"/>
  <c r="R65" i="2"/>
  <c r="N65" i="2"/>
  <c r="M65" i="2"/>
  <c r="P65" i="2"/>
  <c r="O65" i="2"/>
  <c r="B46" i="2"/>
  <c r="S36" i="2"/>
  <c r="S26" i="2"/>
  <c r="S29" i="2"/>
  <c r="S35" i="2"/>
  <c r="O80" i="2"/>
  <c r="S80" i="2" s="1"/>
  <c r="S82" i="2" s="1"/>
  <c r="O79" i="2"/>
  <c r="S68" i="2"/>
  <c r="S63" i="2"/>
  <c r="S30" i="2"/>
  <c r="S62" i="2"/>
  <c r="S61" i="2"/>
  <c r="L82" i="2"/>
  <c r="L81" i="2"/>
  <c r="S33" i="2"/>
  <c r="O58" i="2"/>
  <c r="O59" i="2" s="1"/>
  <c r="P58" i="2"/>
  <c r="P59" i="2" s="1"/>
  <c r="E41" i="2"/>
  <c r="E7" i="2"/>
  <c r="S71" i="2"/>
  <c r="Q65" i="2"/>
  <c r="O27" i="2"/>
  <c r="M27" i="2"/>
  <c r="B9" i="2"/>
  <c r="D9" i="2" s="1"/>
  <c r="E9" i="2" s="1"/>
  <c r="N27" i="2"/>
  <c r="F228" i="1"/>
  <c r="E241" i="1"/>
  <c r="F241" i="1" s="1"/>
  <c r="B146" i="1"/>
  <c r="F165" i="1"/>
  <c r="E260" i="1"/>
  <c r="F260" i="1" s="1"/>
  <c r="F247" i="1"/>
  <c r="F209" i="1"/>
  <c r="E222" i="1"/>
  <c r="F222" i="1" s="1"/>
  <c r="F97" i="1"/>
  <c r="E109" i="1"/>
  <c r="F109" i="1" s="1"/>
  <c r="E203" i="1"/>
  <c r="F203" i="1" s="1"/>
  <c r="F190" i="1"/>
  <c r="F133" i="1"/>
  <c r="E146" i="1"/>
  <c r="F146" i="1" s="1"/>
  <c r="B203" i="1"/>
  <c r="E37" i="1"/>
  <c r="F37" i="1" s="1"/>
  <c r="F60" i="1"/>
  <c r="E73" i="1"/>
  <c r="F73" i="1" s="1"/>
  <c r="O23" i="2" l="1"/>
  <c r="O24" i="2" s="1"/>
  <c r="R23" i="2"/>
  <c r="N23" i="2"/>
  <c r="N24" i="2" s="1"/>
  <c r="S27" i="2"/>
  <c r="M23" i="2"/>
  <c r="S23" i="2" s="1"/>
  <c r="P23" i="2"/>
  <c r="P24" i="2" s="1"/>
  <c r="D21" i="2"/>
  <c r="E21" i="2" s="1"/>
  <c r="D46" i="2"/>
  <c r="B55" i="2"/>
  <c r="B57" i="2" s="1"/>
  <c r="S58" i="2"/>
  <c r="M59" i="2"/>
  <c r="S59" i="2" s="1"/>
  <c r="O82" i="2"/>
  <c r="O81" i="2"/>
  <c r="S81" i="2" s="1"/>
  <c r="B21" i="2"/>
  <c r="B23" i="2" s="1"/>
  <c r="S65" i="2"/>
  <c r="N79" i="2"/>
  <c r="S78" i="2"/>
  <c r="S79" i="2" s="1"/>
  <c r="M24" i="2" l="1"/>
  <c r="S24" i="2" s="1"/>
  <c r="E46" i="2"/>
  <c r="D55" i="2"/>
  <c r="E55" i="2" s="1"/>
</calcChain>
</file>

<file path=xl/comments1.xml><?xml version="1.0" encoding="utf-8"?>
<comments xmlns="http://schemas.openxmlformats.org/spreadsheetml/2006/main">
  <authors>
    <author>Hewlett-Packard</author>
    <author>mmoralej</author>
    <author>ardee apostol</author>
    <author>apease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aapostol: need to update monthly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1">
      <text>
        <r>
          <rPr>
            <b/>
            <sz val="9"/>
            <color indexed="81"/>
            <rFont val="Tahoma"/>
            <charset val="1"/>
          </rPr>
          <t>mmoralej:</t>
        </r>
        <r>
          <rPr>
            <sz val="9"/>
            <color indexed="81"/>
            <rFont val="Tahoma"/>
            <charset val="1"/>
          </rPr>
          <t xml:space="preserve">
170,961,942.48</t>
        </r>
      </text>
    </comment>
    <comment ref="Q17" authorId="2">
      <text>
        <r>
          <rPr>
            <b/>
            <sz val="9"/>
            <color indexed="81"/>
            <rFont val="Tahoma"/>
            <charset val="1"/>
          </rPr>
          <t>ardee apostol:</t>
        </r>
        <r>
          <rPr>
            <sz val="9"/>
            <color indexed="81"/>
            <rFont val="Tahoma"/>
            <charset val="1"/>
          </rPr>
          <t xml:space="preserve">
AB85 transfer - $214,744,939.84</t>
        </r>
      </text>
    </comment>
    <comment ref="T17" authorId="1">
      <text>
        <r>
          <rPr>
            <b/>
            <sz val="9"/>
            <color indexed="81"/>
            <rFont val="Tahoma"/>
            <family val="2"/>
          </rPr>
          <t>mmoralej:</t>
        </r>
        <r>
          <rPr>
            <sz val="9"/>
            <color indexed="81"/>
            <rFont val="Tahoma"/>
            <family val="2"/>
          </rPr>
          <t xml:space="preserve">
Transfer from Special Holding Acct</t>
        </r>
      </text>
    </comment>
    <comment ref="O40" authorId="2">
      <text>
        <r>
          <rPr>
            <b/>
            <sz val="9"/>
            <color indexed="81"/>
            <rFont val="Tahoma"/>
            <charset val="1"/>
          </rPr>
          <t>ardee apostol:</t>
        </r>
        <r>
          <rPr>
            <sz val="9"/>
            <color indexed="81"/>
            <rFont val="Tahoma"/>
            <charset val="1"/>
          </rPr>
          <t xml:space="preserve">
net PH apportioned</t>
        </r>
      </text>
    </comment>
    <comment ref="L46" authorId="3">
      <text>
        <r>
          <rPr>
            <b/>
            <sz val="8"/>
            <color indexed="81"/>
            <rFont val="Tahoma"/>
            <family val="2"/>
          </rPr>
          <t>apease:</t>
        </r>
        <r>
          <rPr>
            <sz val="8"/>
            <color indexed="81"/>
            <rFont val="Tahoma"/>
            <family val="2"/>
          </rPr>
          <t xml:space="preserve">
I added the $14 million that was due VLF CalWORKS MOE that they short changed to pay back MH Collections; it didn't imapct health or ss realignment but it understated vlf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apease:</t>
        </r>
        <r>
          <rPr>
            <sz val="8"/>
            <color indexed="81"/>
            <rFont val="Tahoma"/>
            <family val="2"/>
          </rPr>
          <t xml:space="preserve">
This is the Commerical Vehicle Registration Act of 2001 and the State uses General Fund to cover $11,861,212 of realignment - comes at end of year - or it should.  The July 2006 reconciliation letter shows this amount, however the July 2007 reconciliation letter did not reflect this - hopefully we will see it in the growth distribution around January or February</t>
        </r>
      </text>
    </comment>
  </commentList>
</comments>
</file>

<file path=xl/sharedStrings.xml><?xml version="1.0" encoding="utf-8"?>
<sst xmlns="http://schemas.openxmlformats.org/spreadsheetml/2006/main" count="425" uniqueCount="100">
  <si>
    <r>
      <t>PUBLIC SAFETY SALES TAX DATA</t>
    </r>
    <r>
      <rPr>
        <sz val="8"/>
        <color indexed="12"/>
        <rFont val="Arial"/>
        <family val="2"/>
      </rPr>
      <t xml:space="preserve"> </t>
    </r>
  </si>
  <si>
    <t>PUBLIC SAFETY SALES TAX 00-01 AND 99-00</t>
  </si>
  <si>
    <t>MONTH</t>
  </si>
  <si>
    <t>2000-2001</t>
  </si>
  <si>
    <t>1999-2000</t>
  </si>
  <si>
    <t>DIFF.</t>
  </si>
  <si>
    <t>% CHANGE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</si>
  <si>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</si>
  <si>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</si>
  <si>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</si>
  <si>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</si>
  <si>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</si>
  <si>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</si>
  <si>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</si>
  <si>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</si>
  <si>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</si>
  <si>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</si>
  <si>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</si>
  <si>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</si>
  <si>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TOTAL</t>
  </si>
  <si>
    <t>PUBLIC SAFETY SALES TAX 01-02 AND 00-01</t>
  </si>
  <si>
    <t>2001-2002</t>
  </si>
  <si>
    <t>PUBLIC SAFETY SALES TAX 02-03 AND 01-02</t>
  </si>
  <si>
    <t>2002-2003</t>
  </si>
  <si>
    <t>PUBLIC SAFETY SALES TAX 03-04 AND 02-03</t>
  </si>
  <si>
    <t>2003-04</t>
  </si>
  <si>
    <t>2002-03</t>
  </si>
  <si>
    <t>PUBLIC SAFETY SALES TAX 04-05 AND 03-04</t>
  </si>
  <si>
    <t>2004-05</t>
  </si>
  <si>
    <t>PUBLIC SAFETY SALES TAX 05-06 AND 04-05</t>
  </si>
  <si>
    <t>2005-06</t>
  </si>
  <si>
    <t>PUBLIC SAFETY SALES TAX 06-07 AND 05-06</t>
  </si>
  <si>
    <t>2006-07</t>
  </si>
  <si>
    <t>PUBLIC SAFETY SALES TAX 07-08 AND 06-07</t>
  </si>
  <si>
    <t>2007-08</t>
  </si>
  <si>
    <t>PUBLIC SAFETY SALES TAX 08-09 AND 07-08</t>
  </si>
  <si>
    <t>2008-09</t>
  </si>
  <si>
    <t>PUBLIC SAFETY SALES TAX 09-10 AND 08-09</t>
  </si>
  <si>
    <t>2009-10</t>
  </si>
  <si>
    <t>PUBLIC SAFETY SALES TAX 10-11 AND 09-10</t>
  </si>
  <si>
    <t>2010-11</t>
  </si>
  <si>
    <t>PUBLIC SAFETY SALES TAX 11-12 AND 10-11</t>
  </si>
  <si>
    <t>2011-12</t>
  </si>
  <si>
    <t>PUBLIC SAFETY SALES TAX 12-13 AND 11-12</t>
  </si>
  <si>
    <t>2012-13</t>
  </si>
  <si>
    <t>PUBLIC SAFETY SALES TAX 13-14 AND 12-13</t>
  </si>
  <si>
    <t>2013-14</t>
  </si>
  <si>
    <t>from the SCO website:</t>
  </si>
  <si>
    <t>http://www.sco.ca.gov/ard_payments_pubsafe.html</t>
  </si>
  <si>
    <t>Prop 172 is a 1/2 cent sales tax flows monthly just like Realignment, with one exception; it flows each month based on actual State sales tax remittances and does not stop once "base" is reached.</t>
  </si>
  <si>
    <t xml:space="preserve">TOTAL STATE REALIGNMENT/CMSP - ALL PROGRAMS FY 13-14 &amp; 12-13 </t>
  </si>
  <si>
    <t>% of Year Complete Tax</t>
  </si>
  <si>
    <t>SALES TAX</t>
  </si>
  <si>
    <t>% of Year Complete VLF</t>
  </si>
  <si>
    <t>STATE TOTAL</t>
  </si>
  <si>
    <t>FY 12-13</t>
  </si>
  <si>
    <t>FY 13-14</t>
  </si>
  <si>
    <t>CalWORKs MOE</t>
  </si>
  <si>
    <t>CMSP</t>
  </si>
  <si>
    <t>Health</t>
  </si>
  <si>
    <t>Social Services</t>
  </si>
  <si>
    <t>Family Support (AB85)</t>
  </si>
  <si>
    <t>Growth</t>
  </si>
  <si>
    <t>Total</t>
  </si>
  <si>
    <t>June</t>
  </si>
  <si>
    <t>growth acct</t>
  </si>
  <si>
    <t>Baseline</t>
  </si>
  <si>
    <t>% of Base</t>
  </si>
  <si>
    <t>YTD %</t>
  </si>
  <si>
    <t>YTD % vs Monthly %</t>
  </si>
  <si>
    <t>Sep</t>
  </si>
  <si>
    <t>Oct</t>
  </si>
  <si>
    <t>Assumes we do not make base by 1.12% (January info)</t>
  </si>
  <si>
    <t>Nov</t>
  </si>
  <si>
    <t>social services</t>
  </si>
  <si>
    <t>Dec</t>
  </si>
  <si>
    <t>mental health</t>
  </si>
  <si>
    <t>Jan</t>
  </si>
  <si>
    <t>health</t>
  </si>
  <si>
    <t>Feb</t>
  </si>
  <si>
    <t>total</t>
  </si>
  <si>
    <t>Mar</t>
  </si>
  <si>
    <t>Apr</t>
  </si>
  <si>
    <t>Jun</t>
  </si>
  <si>
    <t>Jul</t>
  </si>
  <si>
    <t>Aug</t>
  </si>
  <si>
    <r>
      <t>VLF (</t>
    </r>
    <r>
      <rPr>
        <b/>
        <i/>
        <sz val="8"/>
        <color indexed="12"/>
        <rFont val="Arial"/>
        <family val="2"/>
      </rPr>
      <t>excludes VLF collections)</t>
    </r>
  </si>
  <si>
    <t>statewide vlf from reconciliation letter</t>
  </si>
  <si>
    <t>Jun (w/o growth)</t>
  </si>
  <si>
    <t>Jun (w/ growth)</t>
  </si>
  <si>
    <t>Jul (growth only)</t>
  </si>
  <si>
    <t>Base Comparison (Statewide)</t>
  </si>
  <si>
    <t>Sales Tax</t>
  </si>
  <si>
    <t>VLF</t>
  </si>
  <si>
    <t>VLF Collection</t>
  </si>
  <si>
    <t xml:space="preserve">Base </t>
  </si>
  <si>
    <t>YTD Post AB 85</t>
  </si>
  <si>
    <t>Variance</t>
  </si>
  <si>
    <t>YTD Pre AB 85</t>
  </si>
  <si>
    <t xml:space="preserve">(updated 08-30-14)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</si>
</sst>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#,##0.00000_);[Red]\(#,##0.00000\)"/>
    <numFmt numFmtId="168" formatCode="0.0%"/>
  </numFmts>
  <fonts count="25" x14ac:knownFonts="1">
    <font>
      <sz val="10"/>
      <name val="Arial"/>
    </font>
    <font>
      <sz val="10"/>
      <name val="Arial"/>
    </font>
    <font>
      <b/>
      <sz val="14"/>
      <color indexed="12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i/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6" fillId="2" borderId="10" xfId="0" applyFont="1" applyFill="1" applyBorder="1"/>
    <xf numFmtId="164" fontId="6" fillId="2" borderId="11" xfId="0" applyNumberFormat="1" applyFont="1" applyFill="1" applyBorder="1"/>
    <xf numFmtId="40" fontId="0" fillId="0" borderId="12" xfId="0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0" fontId="6" fillId="2" borderId="14" xfId="0" applyFont="1" applyFill="1" applyBorder="1"/>
    <xf numFmtId="40" fontId="0" fillId="0" borderId="15" xfId="0" applyNumberFormat="1" applyBorder="1" applyAlignment="1">
      <alignment horizontal="center"/>
    </xf>
    <xf numFmtId="0" fontId="6" fillId="2" borderId="16" xfId="0" applyFont="1" applyFill="1" applyBorder="1"/>
    <xf numFmtId="0" fontId="6" fillId="2" borderId="17" xfId="0" applyFont="1" applyFill="1" applyBorder="1"/>
    <xf numFmtId="40" fontId="0" fillId="0" borderId="18" xfId="0" applyNumberFormat="1" applyBorder="1" applyAlignment="1">
      <alignment horizontal="center"/>
    </xf>
    <xf numFmtId="10" fontId="1" fillId="0" borderId="19" xfId="1" applyNumberFormat="1" applyBorder="1" applyAlignment="1">
      <alignment horizontal="center"/>
    </xf>
    <xf numFmtId="0" fontId="4" fillId="2" borderId="20" xfId="0" applyFont="1" applyFill="1" applyBorder="1"/>
    <xf numFmtId="164" fontId="4" fillId="2" borderId="21" xfId="0" applyNumberFormat="1" applyFont="1" applyFill="1" applyBorder="1"/>
    <xf numFmtId="40" fontId="4" fillId="2" borderId="22" xfId="0" applyNumberFormat="1" applyFont="1" applyFill="1" applyBorder="1" applyAlignment="1">
      <alignment horizontal="center"/>
    </xf>
    <xf numFmtId="10" fontId="4" fillId="2" borderId="23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2" borderId="24" xfId="0" applyFont="1" applyFill="1" applyBorder="1"/>
    <xf numFmtId="40" fontId="0" fillId="0" borderId="25" xfId="0" applyNumberFormat="1" applyBorder="1" applyAlignment="1">
      <alignment horizontal="center"/>
    </xf>
    <xf numFmtId="0" fontId="6" fillId="2" borderId="26" xfId="0" applyFont="1" applyFill="1" applyBorder="1"/>
    <xf numFmtId="40" fontId="0" fillId="0" borderId="27" xfId="0" applyNumberFormat="1" applyBorder="1" applyAlignment="1">
      <alignment horizontal="center"/>
    </xf>
    <xf numFmtId="40" fontId="0" fillId="0" borderId="11" xfId="0" applyNumberFormat="1" applyBorder="1" applyAlignment="1">
      <alignment horizontal="center"/>
    </xf>
    <xf numFmtId="40" fontId="0" fillId="0" borderId="12" xfId="0" applyNumberFormat="1" applyFill="1" applyBorder="1" applyAlignment="1">
      <alignment horizontal="center"/>
    </xf>
    <xf numFmtId="0" fontId="6" fillId="2" borderId="11" xfId="0" applyFont="1" applyFill="1" applyBorder="1"/>
    <xf numFmtId="0" fontId="4" fillId="2" borderId="21" xfId="0" applyFont="1" applyFill="1" applyBorder="1"/>
    <xf numFmtId="0" fontId="9" fillId="0" borderId="0" xfId="0" applyFont="1"/>
    <xf numFmtId="0" fontId="6" fillId="0" borderId="0" xfId="0" applyFont="1" applyFill="1" applyBorder="1"/>
    <xf numFmtId="0" fontId="10" fillId="0" borderId="0" xfId="2" applyAlignment="1" applyProtection="1">
      <alignment horizontal="center"/>
    </xf>
    <xf numFmtId="10" fontId="0" fillId="0" borderId="0" xfId="1" applyNumberFormat="1" applyFont="1"/>
    <xf numFmtId="0" fontId="13" fillId="0" borderId="0" xfId="0" applyFont="1" applyAlignment="1">
      <alignment horizontal="right"/>
    </xf>
    <xf numFmtId="9" fontId="13" fillId="3" borderId="0" xfId="1" applyNumberFormat="1" applyFont="1" applyFill="1" applyAlignment="1">
      <alignment horizontal="center"/>
    </xf>
    <xf numFmtId="4" fontId="0" fillId="0" borderId="0" xfId="0" applyNumberFormat="1"/>
    <xf numFmtId="0" fontId="7" fillId="0" borderId="0" xfId="0" applyFont="1" applyAlignment="1">
      <alignment horizontal="left"/>
    </xf>
    <xf numFmtId="17" fontId="7" fillId="3" borderId="0" xfId="0" quotePrefix="1" applyNumberFormat="1" applyFont="1" applyFill="1" applyAlignment="1">
      <alignment horizontal="right"/>
    </xf>
    <xf numFmtId="0" fontId="14" fillId="0" borderId="0" xfId="0" applyFont="1" applyFill="1"/>
    <xf numFmtId="10" fontId="0" fillId="0" borderId="0" xfId="1" applyNumberFormat="1" applyFont="1" applyFill="1"/>
    <xf numFmtId="0" fontId="12" fillId="0" borderId="0" xfId="0" applyFont="1"/>
    <xf numFmtId="44" fontId="12" fillId="0" borderId="0" xfId="3" applyFont="1"/>
    <xf numFmtId="44" fontId="12" fillId="0" borderId="0" xfId="0" applyNumberFormat="1" applyFont="1"/>
    <xf numFmtId="40" fontId="0" fillId="0" borderId="0" xfId="0" applyNumberFormat="1"/>
    <xf numFmtId="44" fontId="12" fillId="4" borderId="0" xfId="3" applyFont="1" applyFill="1"/>
    <xf numFmtId="43" fontId="12" fillId="0" borderId="0" xfId="4" applyFont="1"/>
    <xf numFmtId="44" fontId="0" fillId="0" borderId="0" xfId="0" applyNumberFormat="1"/>
    <xf numFmtId="0" fontId="12" fillId="0" borderId="0" xfId="0" applyFont="1" applyFill="1"/>
    <xf numFmtId="44" fontId="12" fillId="0" borderId="0" xfId="3" applyFont="1" applyFill="1"/>
    <xf numFmtId="44" fontId="12" fillId="0" borderId="0" xfId="0" applyNumberFormat="1" applyFont="1" applyFill="1"/>
    <xf numFmtId="0" fontId="6" fillId="2" borderId="28" xfId="0" applyFont="1" applyFill="1" applyBorder="1"/>
    <xf numFmtId="10" fontId="12" fillId="0" borderId="0" xfId="1" applyNumberFormat="1" applyFont="1"/>
    <xf numFmtId="44" fontId="1" fillId="0" borderId="0" xfId="3"/>
    <xf numFmtId="0" fontId="15" fillId="2" borderId="0" xfId="0" applyFont="1" applyFill="1" applyBorder="1"/>
    <xf numFmtId="40" fontId="15" fillId="2" borderId="0" xfId="0" applyNumberFormat="1" applyFont="1" applyFill="1" applyBorder="1" applyAlignment="1">
      <alignment horizontal="center"/>
    </xf>
    <xf numFmtId="10" fontId="15" fillId="2" borderId="0" xfId="1" applyNumberFormat="1" applyFont="1" applyFill="1" applyBorder="1" applyAlignment="1">
      <alignment horizontal="center"/>
    </xf>
    <xf numFmtId="44" fontId="1" fillId="0" borderId="0" xfId="3" applyAlignment="1">
      <alignment horizontal="center"/>
    </xf>
    <xf numFmtId="0" fontId="16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40" fontId="0" fillId="0" borderId="0" xfId="0" applyNumberFormat="1" applyAlignment="1">
      <alignment horizontal="center"/>
    </xf>
    <xf numFmtId="0" fontId="12" fillId="5" borderId="0" xfId="0" applyFont="1" applyFill="1"/>
    <xf numFmtId="10" fontId="12" fillId="5" borderId="0" xfId="1" applyNumberFormat="1" applyFont="1" applyFill="1"/>
    <xf numFmtId="10" fontId="0" fillId="5" borderId="0" xfId="0" applyNumberFormat="1" applyFill="1"/>
    <xf numFmtId="40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3" fontId="1" fillId="0" borderId="0" xfId="4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5" fontId="1" fillId="0" borderId="0" xfId="3" applyNumberFormat="1" applyFont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4" fontId="1" fillId="0" borderId="0" xfId="3" applyAlignment="1">
      <alignment horizontal="left" vertical="center" wrapText="1"/>
    </xf>
    <xf numFmtId="40" fontId="0" fillId="0" borderId="0" xfId="0" applyNumberFormat="1" applyAlignment="1">
      <alignment horizontal="left" vertical="center" wrapText="1"/>
    </xf>
    <xf numFmtId="165" fontId="1" fillId="0" borderId="0" xfId="3" applyNumberFormat="1" applyAlignment="1">
      <alignment horizontal="center"/>
    </xf>
    <xf numFmtId="0" fontId="14" fillId="0" borderId="0" xfId="0" applyFont="1"/>
    <xf numFmtId="44" fontId="0" fillId="0" borderId="0" xfId="0" applyNumberFormat="1" applyAlignment="1">
      <alignment horizontal="center"/>
    </xf>
    <xf numFmtId="166" fontId="0" fillId="0" borderId="0" xfId="3" applyNumberFormat="1" applyFont="1"/>
    <xf numFmtId="43" fontId="1" fillId="0" borderId="0" xfId="4"/>
    <xf numFmtId="38" fontId="0" fillId="0" borderId="0" xfId="0" applyNumberFormat="1"/>
    <xf numFmtId="43" fontId="0" fillId="0" borderId="0" xfId="0" applyNumberFormat="1"/>
    <xf numFmtId="10" fontId="0" fillId="0" borderId="0" xfId="0" applyNumberFormat="1"/>
    <xf numFmtId="167" fontId="0" fillId="0" borderId="0" xfId="0" applyNumberFormat="1"/>
    <xf numFmtId="165" fontId="1" fillId="0" borderId="0" xfId="3" applyNumberFormat="1"/>
    <xf numFmtId="44" fontId="12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44" fontId="0" fillId="0" borderId="0" xfId="3" applyFont="1"/>
    <xf numFmtId="10" fontId="1" fillId="0" borderId="0" xfId="1" applyNumberFormat="1" applyAlignment="1">
      <alignment horizontal="center"/>
    </xf>
    <xf numFmtId="44" fontId="12" fillId="4" borderId="0" xfId="3" applyFont="1" applyFill="1" applyAlignment="1">
      <alignment horizontal="left"/>
    </xf>
    <xf numFmtId="44" fontId="12" fillId="0" borderId="0" xfId="3" applyFont="1" applyAlignment="1">
      <alignment horizontal="left"/>
    </xf>
    <xf numFmtId="43" fontId="0" fillId="0" borderId="0" xfId="0" applyNumberFormat="1" applyAlignment="1">
      <alignment horizontal="center"/>
    </xf>
    <xf numFmtId="44" fontId="12" fillId="0" borderId="29" xfId="3" applyFont="1" applyBorder="1"/>
    <xf numFmtId="168" fontId="12" fillId="0" borderId="0" xfId="1" applyNumberFormat="1" applyFont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5">
    <cellStyle name="Comma 2" xfId="4"/>
    <cellStyle name="Currency 2" xfId="3"/>
    <cellStyle name="Hyperlink" xfId="2" builtinId="8"/>
    <cellStyle name="Normal" xfId="0" builtinId="0"/>
    <cellStyle name="Percent" xfId="1" builtinId="5"/>
  </cellStyles>
  <dxfs count="3"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01/02 - 00/01</a:t>
            </a:r>
          </a:p>
        </c:rich>
      </c:tx>
      <c:layout>
        <c:manualLayout>
          <c:xMode val="edge"/>
          <c:yMode val="edge"/>
          <c:x val="0.15292364533569994"/>
          <c:y val="3.214277924400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90568551589842"/>
          <c:y val="0.23571469676809564"/>
          <c:w val="0.77061525678707776"/>
          <c:h val="0.39642926274634266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465469343762068E-4"/>
                  <c:y val="-2.0636559578462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tax-'!$A$24:$A$35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tax-'!$F$24:$F$35</c:f>
              <c:numCache>
                <c:formatCode>0.00%</c:formatCode>
                <c:ptCount val="12"/>
                <c:pt idx="0">
                  <c:v>1.2523817686320028E-2</c:v>
                </c:pt>
                <c:pt idx="1">
                  <c:v>-1.5224582748464919E-2</c:v>
                </c:pt>
                <c:pt idx="2">
                  <c:v>-6.3749771569370756E-2</c:v>
                </c:pt>
                <c:pt idx="3">
                  <c:v>-3.0518695924975994E-2</c:v>
                </c:pt>
                <c:pt idx="4">
                  <c:v>-2.0674487495815699E-2</c:v>
                </c:pt>
                <c:pt idx="5">
                  <c:v>-1.6930599144522804E-3</c:v>
                </c:pt>
                <c:pt idx="6">
                  <c:v>-0.13770537269055044</c:v>
                </c:pt>
                <c:pt idx="7">
                  <c:v>-8.3519339641023021E-3</c:v>
                </c:pt>
                <c:pt idx="8">
                  <c:v>-5.3156399740669678E-2</c:v>
                </c:pt>
                <c:pt idx="9">
                  <c:v>1.750198420107377E-2</c:v>
                </c:pt>
                <c:pt idx="10">
                  <c:v>-1.2615765616855281E-2</c:v>
                </c:pt>
                <c:pt idx="11">
                  <c:v>-1.3169212140021459E-2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60480"/>
        <c:axId val="54262400"/>
      </c:lineChart>
      <c:catAx>
        <c:axId val="5426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01-02 Months</a:t>
                </a:r>
              </a:p>
            </c:rich>
          </c:tx>
          <c:layout>
            <c:manualLayout>
              <c:xMode val="edge"/>
              <c:yMode val="edge"/>
              <c:x val="0.47526262454603246"/>
              <c:y val="0.84285849310387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6240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88053651566938E-2"/>
              <c:y val="0.178571844031961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048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12648470185172"/>
          <c:y val="0.82500143868833475"/>
          <c:w val="0.24587724146513765"/>
          <c:h val="8.92858699879150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06-07 AND 05-06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tax-'!$A$114:$A$125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5686E-4"/>
                  <c:y val="-2.7748104837626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tax-'!$F$114:$F$125</c:f>
              <c:numCache>
                <c:formatCode>0.00%</c:formatCode>
                <c:ptCount val="12"/>
                <c:pt idx="0">
                  <c:v>-6.9479327645081579E-2</c:v>
                </c:pt>
                <c:pt idx="1">
                  <c:v>2.1838394517491332E-2</c:v>
                </c:pt>
                <c:pt idx="2">
                  <c:v>7.8059384437168186E-2</c:v>
                </c:pt>
                <c:pt idx="3">
                  <c:v>1.370616365003792E-2</c:v>
                </c:pt>
                <c:pt idx="4">
                  <c:v>4.1984844246364304E-2</c:v>
                </c:pt>
                <c:pt idx="5">
                  <c:v>6.6429663362104499E-2</c:v>
                </c:pt>
                <c:pt idx="6">
                  <c:v>-2.035694687478945E-2</c:v>
                </c:pt>
                <c:pt idx="7">
                  <c:v>-4.7112860648267814E-2</c:v>
                </c:pt>
                <c:pt idx="8">
                  <c:v>-4.3330333118918846E-2</c:v>
                </c:pt>
                <c:pt idx="9">
                  <c:v>1.8248834207184202E-2</c:v>
                </c:pt>
                <c:pt idx="10">
                  <c:v>-2.5562462153135197E-2</c:v>
                </c:pt>
                <c:pt idx="11">
                  <c:v>2.449283145232585E-2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13216"/>
        <c:axId val="55115136"/>
      </c:lineChart>
      <c:catAx>
        <c:axId val="5511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06-07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15136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321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92800"/>
        <c:axId val="102094720"/>
      </c:lineChart>
      <c:catAx>
        <c:axId val="10209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9472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9280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07-08 AND 06-07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tax-'!$A$133:$A$144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9567E-4"/>
                  <c:y val="-2.5812676057330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tax-'!$F$133:$F$144</c:f>
              <c:numCache>
                <c:formatCode>0.00%</c:formatCode>
                <c:ptCount val="12"/>
                <c:pt idx="0">
                  <c:v>-1.6806964540322922E-2</c:v>
                </c:pt>
                <c:pt idx="1">
                  <c:v>3.4682184303911914E-2</c:v>
                </c:pt>
                <c:pt idx="2">
                  <c:v>-4.604806015453753E-2</c:v>
                </c:pt>
                <c:pt idx="3">
                  <c:v>-7.0334685346853248E-2</c:v>
                </c:pt>
                <c:pt idx="4">
                  <c:v>7.1531727664389991E-2</c:v>
                </c:pt>
                <c:pt idx="5">
                  <c:v>-2.074259977164309E-2</c:v>
                </c:pt>
                <c:pt idx="6">
                  <c:v>-8.0398141232423989E-2</c:v>
                </c:pt>
                <c:pt idx="7">
                  <c:v>2.8498263651209579E-2</c:v>
                </c:pt>
                <c:pt idx="8">
                  <c:v>3.4767126805839141E-2</c:v>
                </c:pt>
                <c:pt idx="9">
                  <c:v>-4.6732613942976516E-2</c:v>
                </c:pt>
                <c:pt idx="10">
                  <c:v>-3.7230904796551133E-2</c:v>
                </c:pt>
                <c:pt idx="11">
                  <c:v>-3.2147325865902528E-2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57920"/>
        <c:axId val="101896960"/>
      </c:lineChart>
      <c:catAx>
        <c:axId val="1018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07-08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9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9696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5792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8304"/>
        <c:axId val="101940224"/>
      </c:lineChart>
      <c:catAx>
        <c:axId val="1019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4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4022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3830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08-09 AND 07-08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tax-'!$A$152:$A$163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9567E-4"/>
                  <c:y val="-2.635184325965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tax-'!$F$152:$F$163</c:f>
              <c:numCache>
                <c:formatCode>0.00%</c:formatCode>
                <c:ptCount val="12"/>
                <c:pt idx="0">
                  <c:v>-9.6503111287240175E-3</c:v>
                </c:pt>
                <c:pt idx="1">
                  <c:v>-5.9829057542200165E-2</c:v>
                </c:pt>
                <c:pt idx="2">
                  <c:v>-3.8264443394241753E-2</c:v>
                </c:pt>
                <c:pt idx="3">
                  <c:v>-7.4057086475084244E-2</c:v>
                </c:pt>
                <c:pt idx="4">
                  <c:v>-0.16104619629459493</c:v>
                </c:pt>
                <c:pt idx="5">
                  <c:v>-0.14558868644964637</c:v>
                </c:pt>
                <c:pt idx="6">
                  <c:v>-9.0087879244646951E-2</c:v>
                </c:pt>
                <c:pt idx="7">
                  <c:v>-0.20106812746814204</c:v>
                </c:pt>
                <c:pt idx="8">
                  <c:v>-0.15868566561643974</c:v>
                </c:pt>
                <c:pt idx="9">
                  <c:v>-0.20465724227316537</c:v>
                </c:pt>
                <c:pt idx="10">
                  <c:v>-0.18195715275343974</c:v>
                </c:pt>
                <c:pt idx="11">
                  <c:v>-0.21869833346372664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2208"/>
        <c:axId val="101984128"/>
      </c:lineChart>
      <c:catAx>
        <c:axId val="1019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08-09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84128"/>
        <c:scaling>
          <c:orientation val="minMax"/>
          <c:max val="0.1"/>
          <c:min val="-0.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8220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13184"/>
        <c:axId val="104014208"/>
      </c:lineChart>
      <c:catAx>
        <c:axId val="1020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1420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1318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09-10 AND 08-09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tax-'!$A$152:$A$163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9567E-4"/>
                  <c:y val="-2.635184325965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tax-'!$F$171:$F$182</c:f>
              <c:numCache>
                <c:formatCode>0.00%</c:formatCode>
                <c:ptCount val="12"/>
                <c:pt idx="0">
                  <c:v>-0.17357803503067579</c:v>
                </c:pt>
                <c:pt idx="1">
                  <c:v>-0.15492269942126216</c:v>
                </c:pt>
                <c:pt idx="2">
                  <c:v>-0.17794724803557851</c:v>
                </c:pt>
                <c:pt idx="3">
                  <c:v>-0.13073785069604327</c:v>
                </c:pt>
                <c:pt idx="4">
                  <c:v>3.4372582376359963E-2</c:v>
                </c:pt>
                <c:pt idx="5">
                  <c:v>-3.4554409115450463E-2</c:v>
                </c:pt>
                <c:pt idx="6">
                  <c:v>8.5757461634238405E-2</c:v>
                </c:pt>
                <c:pt idx="7">
                  <c:v>3.8793229645551333E-2</c:v>
                </c:pt>
                <c:pt idx="8">
                  <c:v>1.4093008564156803E-2</c:v>
                </c:pt>
                <c:pt idx="9">
                  <c:v>6.0140593324214016E-2</c:v>
                </c:pt>
                <c:pt idx="10">
                  <c:v>6.0308784825203895E-2</c:v>
                </c:pt>
                <c:pt idx="11">
                  <c:v>5.1790951748058575E-2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3648"/>
        <c:axId val="104045568"/>
      </c:lineChart>
      <c:catAx>
        <c:axId val="10404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09-10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45568"/>
        <c:scaling>
          <c:orientation val="minMax"/>
          <c:max val="0.1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4364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7488"/>
        <c:axId val="108209664"/>
      </c:lineChart>
      <c:catAx>
        <c:axId val="10820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0966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0748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10-11 AND 09-10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tax-'!$A$190:$A$201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9567E-4"/>
                  <c:y val="-2.635184325965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tax-'!$F$190:$F$201</c:f>
              <c:numCache>
                <c:formatCode>0.00%</c:formatCode>
                <c:ptCount val="12"/>
                <c:pt idx="0">
                  <c:v>6.1010535969662641E-5</c:v>
                </c:pt>
                <c:pt idx="1">
                  <c:v>-4.57188170224649E-3</c:v>
                </c:pt>
                <c:pt idx="2">
                  <c:v>3.8003110067537489E-2</c:v>
                </c:pt>
                <c:pt idx="3">
                  <c:v>7.9411701444670017E-3</c:v>
                </c:pt>
                <c:pt idx="4">
                  <c:v>-7.4214446294979669E-2</c:v>
                </c:pt>
                <c:pt idx="5">
                  <c:v>5.5489706844923346E-2</c:v>
                </c:pt>
                <c:pt idx="6">
                  <c:v>0.21182555256120045</c:v>
                </c:pt>
                <c:pt idx="7">
                  <c:v>7.2974803336624205E-2</c:v>
                </c:pt>
                <c:pt idx="8">
                  <c:v>4.110224452791196E-2</c:v>
                </c:pt>
                <c:pt idx="9">
                  <c:v>0.10026504863511276</c:v>
                </c:pt>
                <c:pt idx="10">
                  <c:v>2.7615370812566306E-2</c:v>
                </c:pt>
                <c:pt idx="11">
                  <c:v>0.10301030398298733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47296"/>
        <c:axId val="108147072"/>
      </c:lineChart>
      <c:catAx>
        <c:axId val="1082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10-11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4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47072"/>
        <c:scaling>
          <c:orientation val="minMax"/>
          <c:max val="0.25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4729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96608"/>
        <c:axId val="108198528"/>
      </c:lineChart>
      <c:catAx>
        <c:axId val="1081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9852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9660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02-03 AND 01-02</a:t>
            </a:r>
          </a:p>
        </c:rich>
      </c:tx>
      <c:layout>
        <c:manualLayout>
          <c:xMode val="edge"/>
          <c:yMode val="edge"/>
          <c:x val="0.15269461077844312"/>
          <c:y val="3.2258017609294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2275449101795"/>
          <c:y val="0.23655996779782634"/>
          <c:w val="0.72005988023952094"/>
          <c:h val="0.39426661299637727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6.2394895248882689E-5"/>
                  <c:y val="-2.0566565172377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tax-'!$A$42:$A$53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tax-'!$F$42:$F$53</c:f>
              <c:numCache>
                <c:formatCode>0.00%</c:formatCode>
                <c:ptCount val="12"/>
                <c:pt idx="0">
                  <c:v>-3.5178544513047923E-2</c:v>
                </c:pt>
                <c:pt idx="1">
                  <c:v>1.7385070255752949E-2</c:v>
                </c:pt>
                <c:pt idx="2">
                  <c:v>1.9604001060215853E-2</c:v>
                </c:pt>
                <c:pt idx="3">
                  <c:v>-1.9340205468835088E-2</c:v>
                </c:pt>
                <c:pt idx="4">
                  <c:v>4.0411235933195802E-2</c:v>
                </c:pt>
                <c:pt idx="5">
                  <c:v>4.9949277828861466E-2</c:v>
                </c:pt>
                <c:pt idx="6">
                  <c:v>5.7123563410523312E-2</c:v>
                </c:pt>
                <c:pt idx="7">
                  <c:v>4.2237910035850479E-2</c:v>
                </c:pt>
                <c:pt idx="8">
                  <c:v>4.1985065150252923E-2</c:v>
                </c:pt>
                <c:pt idx="9">
                  <c:v>-3.9415291340219273E-3</c:v>
                </c:pt>
                <c:pt idx="10">
                  <c:v>-4.3325045719808412E-3</c:v>
                </c:pt>
                <c:pt idx="11">
                  <c:v>9.0518255266119438E-2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09216"/>
        <c:axId val="54019584"/>
      </c:lineChart>
      <c:catAx>
        <c:axId val="5400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layout>
            <c:manualLayout>
              <c:xMode val="edge"/>
              <c:yMode val="edge"/>
              <c:x val="0.44910179640718562"/>
              <c:y val="0.84229684239608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1958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79212380308417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921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50299401197606"/>
          <c:y val="0.82437564535606156"/>
          <c:w val="0.24550898203592814"/>
          <c:h val="8.96060484082675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11-12 AND 10-11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99"/>
          <c:y val="0.23076962475692606"/>
          <c:w val="0.72047937756822467"/>
          <c:h val="0.52097991043609082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tax-'!$A$209:$A$220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36204146730464E-2"/>
                  <c:y val="4.065040650406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9808612440191023E-3"/>
                  <c:y val="1.806684733514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806684733514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936204146730461E-3"/>
                  <c:y val="-1.355013550135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936204146730461E-3"/>
                  <c:y val="-4.51671183378504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7206049174199643E-4"/>
                  <c:y val="-2.635184325965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9744816586921844E-3"/>
                  <c:y val="-4.51671183378500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72408293460922E-3"/>
                  <c:y val="-1.806684733514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9840510366826157E-2"/>
                  <c:y val="5.8717253839205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tax-'!$F$209:$F$220</c:f>
              <c:numCache>
                <c:formatCode>0.00%</c:formatCode>
                <c:ptCount val="12"/>
                <c:pt idx="0">
                  <c:v>0.10898803347741187</c:v>
                </c:pt>
                <c:pt idx="1">
                  <c:v>0.13173367363083938</c:v>
                </c:pt>
                <c:pt idx="2">
                  <c:v>0.15024994325919863</c:v>
                </c:pt>
                <c:pt idx="3">
                  <c:v>0.29571141735352291</c:v>
                </c:pt>
                <c:pt idx="4">
                  <c:v>1.058037083064999E-2</c:v>
                </c:pt>
                <c:pt idx="5">
                  <c:v>0.11555722991568744</c:v>
                </c:pt>
                <c:pt idx="6">
                  <c:v>-0.17240879860143191</c:v>
                </c:pt>
                <c:pt idx="7">
                  <c:v>0.15594120437575307</c:v>
                </c:pt>
                <c:pt idx="8">
                  <c:v>0.11876060238294155</c:v>
                </c:pt>
                <c:pt idx="9">
                  <c:v>5.9857283768211422E-2</c:v>
                </c:pt>
                <c:pt idx="10">
                  <c:v>0.15166802186074571</c:v>
                </c:pt>
                <c:pt idx="11">
                  <c:v>0.12731426961745179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02336"/>
        <c:axId val="108304256"/>
      </c:lineChart>
      <c:catAx>
        <c:axId val="1083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11-12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0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04256"/>
        <c:scaling>
          <c:orientation val="minMax"/>
          <c:max val="0.25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0233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5120"/>
        <c:axId val="108814720"/>
      </c:lineChart>
      <c:catAx>
        <c:axId val="10832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1472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2512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12-13 AND 11-12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71"/>
          <c:y val="0.23076962475692611"/>
          <c:w val="0.72047937756822489"/>
          <c:h val="0.52097991043609104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tax-'!$A$228:$A$239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1.355013550135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74481658692148E-3"/>
                  <c:y val="-2.7100271002709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872408293460922E-3"/>
                  <c:y val="1.355013550135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936204146730461E-3"/>
                  <c:y val="-1.355013550135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8528739529567645E-3"/>
                  <c:y val="5.946553428788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1961722488038277E-2"/>
                  <c:y val="-7.2267389340560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9936204146730461E-3"/>
                  <c:y val="-1.355013550135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72408293460922E-3"/>
                  <c:y val="3.1616982836495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87878787878788E-2"/>
                  <c:y val="-4.5167118337850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tax-'!$F$228:$F$239</c:f>
              <c:numCache>
                <c:formatCode>0.00%</c:formatCode>
                <c:ptCount val="12"/>
                <c:pt idx="0">
                  <c:v>8.166259637612118E-2</c:v>
                </c:pt>
                <c:pt idx="1">
                  <c:v>0.10039376627813516</c:v>
                </c:pt>
                <c:pt idx="2">
                  <c:v>8.7787823009784979E-2</c:v>
                </c:pt>
                <c:pt idx="3">
                  <c:v>-4.6722437000122949E-2</c:v>
                </c:pt>
                <c:pt idx="4">
                  <c:v>0.21562428286131488</c:v>
                </c:pt>
                <c:pt idx="5">
                  <c:v>0.12880547899434971</c:v>
                </c:pt>
                <c:pt idx="6">
                  <c:v>8.2458630046562828E-2</c:v>
                </c:pt>
                <c:pt idx="7">
                  <c:v>2.6174274577250627E-2</c:v>
                </c:pt>
                <c:pt idx="8">
                  <c:v>6.1718388077528608E-2</c:v>
                </c:pt>
                <c:pt idx="9">
                  <c:v>5.8792041395699747E-2</c:v>
                </c:pt>
                <c:pt idx="10">
                  <c:v>-1.0837697437008516E-3</c:v>
                </c:pt>
                <c:pt idx="11">
                  <c:v>7.9672707200288129E-2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5376"/>
        <c:axId val="108727296"/>
      </c:lineChart>
      <c:catAx>
        <c:axId val="1087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12-13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2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27296"/>
        <c:scaling>
          <c:orientation val="minMax"/>
          <c:max val="0.25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2537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76832"/>
        <c:axId val="108779008"/>
      </c:lineChart>
      <c:catAx>
        <c:axId val="1087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7900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76832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13-14 AND 12-13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71"/>
          <c:y val="0.23076962475692611"/>
          <c:w val="0.72047937756822489"/>
          <c:h val="0.52097991043609104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tax-'!$A$247:$A$258</c:f>
              <c:strCache>
                <c:ptCount val="1"/>
                <c:pt idx="0">
                  <c:v>September October November December January February March April May June  July August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744816586921844E-3"/>
                  <c:y val="1.3550135501355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955342902711323E-2"/>
                  <c:y val="-3.1616982836495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910685805422646E-2"/>
                  <c:y val="5.8717253839205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872408293460927E-2"/>
                  <c:y val="-6.323396567299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808612440190659E-3"/>
                  <c:y val="4.51671183378500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808612440191387E-3"/>
                  <c:y val="3.1616982836495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866185686119377E-2"/>
                  <c:y val="-3.613369467028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89078099687301E-2"/>
                  <c:y val="-4.89355497229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904306220095694E-2"/>
                  <c:y val="4.5167118337850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942583732057416E-2"/>
                  <c:y val="3.613369467028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1866028708133975E-2"/>
                  <c:y val="-6.775067750677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872408293460927E-2"/>
                  <c:y val="4.968383017163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tax-'!$A$247:$A$258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tax-'!$F$247:$F$258</c:f>
              <c:numCache>
                <c:formatCode>0.00%</c:formatCode>
                <c:ptCount val="12"/>
                <c:pt idx="0">
                  <c:v>-1.2870653378952705E-2</c:v>
                </c:pt>
                <c:pt idx="1">
                  <c:v>0.15223411416242874</c:v>
                </c:pt>
                <c:pt idx="2">
                  <c:v>2.6012733437339664E-2</c:v>
                </c:pt>
                <c:pt idx="3">
                  <c:v>6.8678423474652819E-2</c:v>
                </c:pt>
                <c:pt idx="4">
                  <c:v>8.3070816921057347E-2</c:v>
                </c:pt>
                <c:pt idx="5">
                  <c:v>1.3549084984207402E-3</c:v>
                </c:pt>
                <c:pt idx="6">
                  <c:v>5.0292892817403193E-2</c:v>
                </c:pt>
                <c:pt idx="7">
                  <c:v>3.2780807935011362E-2</c:v>
                </c:pt>
                <c:pt idx="8">
                  <c:v>5.7019541101086646E-2</c:v>
                </c:pt>
                <c:pt idx="9">
                  <c:v>5.9563990812808221E-2</c:v>
                </c:pt>
                <c:pt idx="10">
                  <c:v>0.11041886111383693</c:v>
                </c:pt>
                <c:pt idx="11">
                  <c:v>1.6344999920378567E-2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5408"/>
        <c:axId val="108916736"/>
      </c:lineChart>
      <c:catAx>
        <c:axId val="1088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13-14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16736"/>
        <c:scaling>
          <c:orientation val="minMax"/>
          <c:max val="0.25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6540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40832"/>
        <c:axId val="55128448"/>
      </c:lineChart>
      <c:catAx>
        <c:axId val="540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2844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0832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00-01 AND 99-00</a:t>
            </a:r>
          </a:p>
        </c:rich>
      </c:tx>
      <c:layout>
        <c:manualLayout>
          <c:xMode val="edge"/>
          <c:yMode val="edge"/>
          <c:x val="0.15269461077844312"/>
          <c:y val="3.2142805353750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2275449101795"/>
          <c:y val="0.23571469676809564"/>
          <c:w val="0.72005988023952094"/>
          <c:h val="0.39642926274634266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6.2394895248882689E-5"/>
                  <c:y val="-1.9616112810579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tax-'!$A$6:$A$17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tax-'!$F$6:$F$17</c:f>
              <c:numCache>
                <c:formatCode>0.00%</c:formatCode>
                <c:ptCount val="12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  <c:pt idx="11">
                  <c:v>2.9488009893756613E-2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1984"/>
        <c:axId val="55163904"/>
      </c:lineChart>
      <c:catAx>
        <c:axId val="551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00-01 Months</a:t>
                </a:r>
              </a:p>
            </c:rich>
          </c:tx>
          <c:layout>
            <c:manualLayout>
              <c:xMode val="edge"/>
              <c:yMode val="edge"/>
              <c:x val="0.44910179640718562"/>
              <c:y val="0.842858644741230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6390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78571946462493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198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50299401197606"/>
          <c:y val="0.82500143868833475"/>
          <c:w val="0.24550898203592814"/>
          <c:h val="8.92858699879150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03-04 AND 02-03</a:t>
            </a:r>
          </a:p>
        </c:rich>
      </c:tx>
      <c:layout>
        <c:manualLayout>
          <c:xMode val="edge"/>
          <c:yMode val="edge"/>
          <c:x val="0.15269461077844312"/>
          <c:y val="3.508786945110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2275449101795"/>
          <c:y val="0.23157974088452879"/>
          <c:w val="0.72005988023952094"/>
          <c:h val="0.40701893852432336"/>
        </c:manualLayout>
      </c:layout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6.2394895248848265E-5"/>
                  <c:y val="-2.2831777010421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tax-'!$A$60:$A$71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'Public Safety tax-'!$F$60:$F$71</c:f>
              <c:numCache>
                <c:formatCode>0.00%</c:formatCode>
                <c:ptCount val="12"/>
                <c:pt idx="0">
                  <c:v>7.4465566679964401E-2</c:v>
                </c:pt>
                <c:pt idx="1">
                  <c:v>3.0112118916252692E-2</c:v>
                </c:pt>
                <c:pt idx="2">
                  <c:v>3.5343446093040846E-2</c:v>
                </c:pt>
                <c:pt idx="3">
                  <c:v>0.12569732036311715</c:v>
                </c:pt>
                <c:pt idx="4">
                  <c:v>5.1109747358360949E-2</c:v>
                </c:pt>
                <c:pt idx="5">
                  <c:v>-3.9799952492726429E-2</c:v>
                </c:pt>
                <c:pt idx="6">
                  <c:v>-1.2644750702720966E-2</c:v>
                </c:pt>
                <c:pt idx="7">
                  <c:v>-0.16763777864943066</c:v>
                </c:pt>
                <c:pt idx="8">
                  <c:v>0.1213613711231462</c:v>
                </c:pt>
                <c:pt idx="9">
                  <c:v>0.45371481739204034</c:v>
                </c:pt>
                <c:pt idx="10">
                  <c:v>6.9736413956670601E-2</c:v>
                </c:pt>
                <c:pt idx="11">
                  <c:v>0.11799786876011707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84224"/>
        <c:axId val="54898688"/>
      </c:lineChart>
      <c:catAx>
        <c:axId val="548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03-04 Months</a:t>
                </a:r>
              </a:p>
            </c:rich>
          </c:tx>
          <c:layout>
            <c:manualLayout>
              <c:xMode val="edge"/>
              <c:yMode val="edge"/>
              <c:x val="0.44910179640718562"/>
              <c:y val="0.84561686922286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9868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52095808383235E-2"/>
              <c:y val="0.185965494123017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84224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50299401197606"/>
          <c:y val="0.8245642289070344"/>
          <c:w val="0.24550898203592814"/>
          <c:h val="8.77195988198972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04-05 AND 03-04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tax-'!$F$77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6314E-4"/>
                  <c:y val="-2.588550851738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tax-'!$F$78:$F$89</c:f>
              <c:numCache>
                <c:formatCode>0.00%</c:formatCode>
                <c:ptCount val="12"/>
                <c:pt idx="0">
                  <c:v>8.3404846075348954E-2</c:v>
                </c:pt>
                <c:pt idx="1">
                  <c:v>8.8364065138119577E-2</c:v>
                </c:pt>
                <c:pt idx="2">
                  <c:v>2.7792639403491613E-2</c:v>
                </c:pt>
                <c:pt idx="3">
                  <c:v>8.703151883013488E-2</c:v>
                </c:pt>
                <c:pt idx="4">
                  <c:v>0.13135706664637556</c:v>
                </c:pt>
                <c:pt idx="5">
                  <c:v>0.17418390273718717</c:v>
                </c:pt>
                <c:pt idx="6">
                  <c:v>4.8263147097093284E-2</c:v>
                </c:pt>
                <c:pt idx="7">
                  <c:v>0.49697991756861548</c:v>
                </c:pt>
                <c:pt idx="8">
                  <c:v>-5.947651474127979E-3</c:v>
                </c:pt>
                <c:pt idx="9">
                  <c:v>-0.11047508987662331</c:v>
                </c:pt>
                <c:pt idx="10">
                  <c:v>0.17962598528656235</c:v>
                </c:pt>
                <c:pt idx="11">
                  <c:v>-6.859001823285496E-2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4048"/>
        <c:axId val="55010432"/>
      </c:lineChart>
      <c:catAx>
        <c:axId val="5491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04-05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10432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404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83091868536103"/>
          <c:y val="0.86014132863945147"/>
          <c:w val="6.4275131193845744E-2"/>
          <c:h val="8.39162271843367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9872"/>
        <c:axId val="55042048"/>
      </c:lineChart>
      <c:catAx>
        <c:axId val="5503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4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4204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39872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05-06 AND 04-05</a:t>
            </a:r>
          </a:p>
        </c:rich>
      </c:tx>
      <c:layout>
        <c:manualLayout>
          <c:xMode val="edge"/>
          <c:yMode val="edge"/>
          <c:x val="0.15097169372967134"/>
          <c:y val="1.7482519969556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34108210289685"/>
          <c:y val="0.230769624756926"/>
          <c:w val="0.72047937756822444"/>
          <c:h val="0.52097991043609049"/>
        </c:manualLayout>
      </c:layout>
      <c:lineChart>
        <c:grouping val="stacked"/>
        <c:varyColors val="0"/>
        <c:ser>
          <c:idx val="0"/>
          <c:order val="0"/>
          <c:tx>
            <c:strRef>
              <c:f>'Public Safety tax-'!$F$95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8.7206049174199567E-4"/>
                  <c:y val="-2.822605208722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'Public Safety tax-'!$F$96:$F$107</c:f>
              <c:numCache>
                <c:formatCode>0.00%</c:formatCode>
                <c:ptCount val="12"/>
                <c:pt idx="0">
                  <c:v>0.18326519241397976</c:v>
                </c:pt>
                <c:pt idx="1">
                  <c:v>8.3960860383432312E-2</c:v>
                </c:pt>
                <c:pt idx="2">
                  <c:v>0.1202606020020289</c:v>
                </c:pt>
                <c:pt idx="3">
                  <c:v>0.13558656211184134</c:v>
                </c:pt>
                <c:pt idx="4">
                  <c:v>-3.4071845413293382E-2</c:v>
                </c:pt>
                <c:pt idx="5">
                  <c:v>2.6962044350070748E-2</c:v>
                </c:pt>
                <c:pt idx="6">
                  <c:v>0.22465451854060356</c:v>
                </c:pt>
                <c:pt idx="7">
                  <c:v>2.8917962735528296E-2</c:v>
                </c:pt>
                <c:pt idx="8">
                  <c:v>9.4536459760719796E-2</c:v>
                </c:pt>
                <c:pt idx="9">
                  <c:v>-2.8981021904708304E-2</c:v>
                </c:pt>
                <c:pt idx="10">
                  <c:v>6.4604299212697877E-2</c:v>
                </c:pt>
                <c:pt idx="11">
                  <c:v>0.1339948467587237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2800"/>
        <c:axId val="54974720"/>
      </c:lineChart>
      <c:catAx>
        <c:axId val="549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05-06 Months</a:t>
                </a:r>
              </a:p>
            </c:rich>
          </c:tx>
          <c:layout>
            <c:manualLayout>
              <c:xMode val="edge"/>
              <c:yMode val="edge"/>
              <c:x val="0.4499259063908877"/>
              <c:y val="0.8461554602422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7472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layout>
            <c:manualLayout>
              <c:xMode val="edge"/>
              <c:yMode val="edge"/>
              <c:x val="2.3916223988747817E-2"/>
              <c:y val="0.2412592734851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72800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83091868536103"/>
          <c:y val="0.86014132863945147"/>
          <c:w val="6.4275131193845744E-2"/>
          <c:h val="8.39162271843367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Public Safety 1/2 cent Sales tax - </a:t>
            </a:r>
            <a:r>
              <a:rPr lang="en-US" sz="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Monthly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Variance Comparison 02/03 - 01/02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Percent Variance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'Public Safety tax-'!$A$24:$A$34</c:f>
              <c:strCache>
                <c:ptCount val="11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 </c:v>
                </c:pt>
                <c:pt idx="10">
                  <c:v>July</c:v>
                </c:pt>
              </c:strCache>
            </c:strRef>
          </c:cat>
          <c:val>
            <c:numRef>
              <c:f>'Public Safety tax-'!$F$6:$F$16</c:f>
              <c:numCache>
                <c:formatCode>0.00%</c:formatCode>
                <c:ptCount val="11"/>
                <c:pt idx="0">
                  <c:v>0.20050785951663166</c:v>
                </c:pt>
                <c:pt idx="1">
                  <c:v>6.3828415643033778E-2</c:v>
                </c:pt>
                <c:pt idx="2">
                  <c:v>0.17088675925736876</c:v>
                </c:pt>
                <c:pt idx="3">
                  <c:v>0.17691738245927291</c:v>
                </c:pt>
                <c:pt idx="4">
                  <c:v>1.7303728936817881E-2</c:v>
                </c:pt>
                <c:pt idx="5">
                  <c:v>1.860940358612577E-2</c:v>
                </c:pt>
                <c:pt idx="6">
                  <c:v>0.19588678284985814</c:v>
                </c:pt>
                <c:pt idx="7">
                  <c:v>1.6395027561978477E-2</c:v>
                </c:pt>
                <c:pt idx="8">
                  <c:v>9.6060596605242701E-2</c:v>
                </c:pt>
                <c:pt idx="9">
                  <c:v>1.7072186551558598E-3</c:v>
                </c:pt>
                <c:pt idx="10">
                  <c:v>-2.6445009959620651E-3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5216"/>
        <c:axId val="55079680"/>
      </c:lineChart>
      <c:catAx>
        <c:axId val="5506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FY 02-03 Months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968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Variance between Years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65216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20</xdr:row>
      <xdr:rowOff>28575</xdr:rowOff>
    </xdr:from>
    <xdr:to>
      <xdr:col>16</xdr:col>
      <xdr:colOff>342900</xdr:colOff>
      <xdr:row>36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37</xdr:row>
      <xdr:rowOff>9525</xdr:rowOff>
    </xdr:from>
    <xdr:to>
      <xdr:col>16</xdr:col>
      <xdr:colOff>342900</xdr:colOff>
      <xdr:row>53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78</xdr:row>
      <xdr:rowOff>0</xdr:rowOff>
    </xdr:from>
    <xdr:to>
      <xdr:col>16</xdr:col>
      <xdr:colOff>342900</xdr:colOff>
      <xdr:row>78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</xdr:colOff>
      <xdr:row>1</xdr:row>
      <xdr:rowOff>9525</xdr:rowOff>
    </xdr:from>
    <xdr:to>
      <xdr:col>16</xdr:col>
      <xdr:colOff>342900</xdr:colOff>
      <xdr:row>17</xdr:row>
      <xdr:rowOff>123825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56</xdr:row>
      <xdr:rowOff>19050</xdr:rowOff>
    </xdr:from>
    <xdr:to>
      <xdr:col>16</xdr:col>
      <xdr:colOff>342900</xdr:colOff>
      <xdr:row>72</xdr:row>
      <xdr:rowOff>142875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74</xdr:row>
      <xdr:rowOff>9525</xdr:rowOff>
    </xdr:from>
    <xdr:to>
      <xdr:col>16</xdr:col>
      <xdr:colOff>342900</xdr:colOff>
      <xdr:row>90</xdr:row>
      <xdr:rowOff>114300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96</xdr:row>
      <xdr:rowOff>0</xdr:rowOff>
    </xdr:from>
    <xdr:to>
      <xdr:col>16</xdr:col>
      <xdr:colOff>342900</xdr:colOff>
      <xdr:row>96</xdr:row>
      <xdr:rowOff>0</xdr:rowOff>
    </xdr:to>
    <xdr:graphicFrame macro="">
      <xdr:nvGraphicFramePr>
        <xdr:cNvPr id="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66675</xdr:colOff>
      <xdr:row>92</xdr:row>
      <xdr:rowOff>9525</xdr:rowOff>
    </xdr:from>
    <xdr:to>
      <xdr:col>16</xdr:col>
      <xdr:colOff>342900</xdr:colOff>
      <xdr:row>108</xdr:row>
      <xdr:rowOff>114300</xdr:rowOff>
    </xdr:to>
    <xdr:graphicFrame macro="">
      <xdr:nvGraphicFramePr>
        <xdr:cNvPr id="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85725</xdr:colOff>
      <xdr:row>114</xdr:row>
      <xdr:rowOff>0</xdr:rowOff>
    </xdr:from>
    <xdr:to>
      <xdr:col>16</xdr:col>
      <xdr:colOff>342900</xdr:colOff>
      <xdr:row>114</xdr:row>
      <xdr:rowOff>0</xdr:rowOff>
    </xdr:to>
    <xdr:graphicFrame macro="">
      <xdr:nvGraphicFramePr>
        <xdr:cNvPr id="1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66675</xdr:colOff>
      <xdr:row>110</xdr:row>
      <xdr:rowOff>9525</xdr:rowOff>
    </xdr:from>
    <xdr:to>
      <xdr:col>16</xdr:col>
      <xdr:colOff>342900</xdr:colOff>
      <xdr:row>126</xdr:row>
      <xdr:rowOff>114300</xdr:rowOff>
    </xdr:to>
    <xdr:graphicFrame macro="">
      <xdr:nvGraphicFramePr>
        <xdr:cNvPr id="1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85725</xdr:colOff>
      <xdr:row>133</xdr:row>
      <xdr:rowOff>0</xdr:rowOff>
    </xdr:from>
    <xdr:to>
      <xdr:col>16</xdr:col>
      <xdr:colOff>342900</xdr:colOff>
      <xdr:row>133</xdr:row>
      <xdr:rowOff>0</xdr:rowOff>
    </xdr:to>
    <xdr:graphicFrame macro="">
      <xdr:nvGraphicFramePr>
        <xdr:cNvPr id="1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66675</xdr:colOff>
      <xdr:row>129</xdr:row>
      <xdr:rowOff>9525</xdr:rowOff>
    </xdr:from>
    <xdr:to>
      <xdr:col>16</xdr:col>
      <xdr:colOff>342900</xdr:colOff>
      <xdr:row>145</xdr:row>
      <xdr:rowOff>114300</xdr:rowOff>
    </xdr:to>
    <xdr:graphicFrame macro="">
      <xdr:nvGraphicFramePr>
        <xdr:cNvPr id="1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85725</xdr:colOff>
      <xdr:row>152</xdr:row>
      <xdr:rowOff>0</xdr:rowOff>
    </xdr:from>
    <xdr:to>
      <xdr:col>16</xdr:col>
      <xdr:colOff>342900</xdr:colOff>
      <xdr:row>152</xdr:row>
      <xdr:rowOff>0</xdr:rowOff>
    </xdr:to>
    <xdr:graphicFrame macro="">
      <xdr:nvGraphicFramePr>
        <xdr:cNvPr id="1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66675</xdr:colOff>
      <xdr:row>148</xdr:row>
      <xdr:rowOff>9525</xdr:rowOff>
    </xdr:from>
    <xdr:to>
      <xdr:col>16</xdr:col>
      <xdr:colOff>342900</xdr:colOff>
      <xdr:row>164</xdr:row>
      <xdr:rowOff>114300</xdr:rowOff>
    </xdr:to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85725</xdr:colOff>
      <xdr:row>171</xdr:row>
      <xdr:rowOff>0</xdr:rowOff>
    </xdr:from>
    <xdr:to>
      <xdr:col>16</xdr:col>
      <xdr:colOff>342900</xdr:colOff>
      <xdr:row>171</xdr:row>
      <xdr:rowOff>0</xdr:rowOff>
    </xdr:to>
    <xdr:graphicFrame macro="">
      <xdr:nvGraphicFramePr>
        <xdr:cNvPr id="1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66675</xdr:colOff>
      <xdr:row>167</xdr:row>
      <xdr:rowOff>9525</xdr:rowOff>
    </xdr:from>
    <xdr:to>
      <xdr:col>16</xdr:col>
      <xdr:colOff>342900</xdr:colOff>
      <xdr:row>183</xdr:row>
      <xdr:rowOff>114300</xdr:rowOff>
    </xdr:to>
    <xdr:graphicFrame macro="">
      <xdr:nvGraphicFramePr>
        <xdr:cNvPr id="1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85725</xdr:colOff>
      <xdr:row>190</xdr:row>
      <xdr:rowOff>0</xdr:rowOff>
    </xdr:from>
    <xdr:to>
      <xdr:col>16</xdr:col>
      <xdr:colOff>342900</xdr:colOff>
      <xdr:row>190</xdr:row>
      <xdr:rowOff>0</xdr:rowOff>
    </xdr:to>
    <xdr:graphicFrame macro="">
      <xdr:nvGraphicFramePr>
        <xdr:cNvPr id="1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66675</xdr:colOff>
      <xdr:row>186</xdr:row>
      <xdr:rowOff>9525</xdr:rowOff>
    </xdr:from>
    <xdr:to>
      <xdr:col>16</xdr:col>
      <xdr:colOff>342900</xdr:colOff>
      <xdr:row>202</xdr:row>
      <xdr:rowOff>114300</xdr:rowOff>
    </xdr:to>
    <xdr:graphicFrame macro="">
      <xdr:nvGraphicFramePr>
        <xdr:cNvPr id="1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85725</xdr:colOff>
      <xdr:row>209</xdr:row>
      <xdr:rowOff>0</xdr:rowOff>
    </xdr:from>
    <xdr:to>
      <xdr:col>16</xdr:col>
      <xdr:colOff>342900</xdr:colOff>
      <xdr:row>209</xdr:row>
      <xdr:rowOff>0</xdr:rowOff>
    </xdr:to>
    <xdr:graphicFrame macro="">
      <xdr:nvGraphicFramePr>
        <xdr:cNvPr id="2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66675</xdr:colOff>
      <xdr:row>205</xdr:row>
      <xdr:rowOff>9525</xdr:rowOff>
    </xdr:from>
    <xdr:to>
      <xdr:col>16</xdr:col>
      <xdr:colOff>342900</xdr:colOff>
      <xdr:row>221</xdr:row>
      <xdr:rowOff>114300</xdr:rowOff>
    </xdr:to>
    <xdr:graphicFrame macro="">
      <xdr:nvGraphicFramePr>
        <xdr:cNvPr id="2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85725</xdr:colOff>
      <xdr:row>228</xdr:row>
      <xdr:rowOff>0</xdr:rowOff>
    </xdr:from>
    <xdr:to>
      <xdr:col>16</xdr:col>
      <xdr:colOff>342900</xdr:colOff>
      <xdr:row>228</xdr:row>
      <xdr:rowOff>0</xdr:rowOff>
    </xdr:to>
    <xdr:graphicFrame macro="">
      <xdr:nvGraphicFramePr>
        <xdr:cNvPr id="2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66675</xdr:colOff>
      <xdr:row>224</xdr:row>
      <xdr:rowOff>9525</xdr:rowOff>
    </xdr:from>
    <xdr:to>
      <xdr:col>16</xdr:col>
      <xdr:colOff>342900</xdr:colOff>
      <xdr:row>240</xdr:row>
      <xdr:rowOff>114300</xdr:rowOff>
    </xdr:to>
    <xdr:graphicFrame macro="">
      <xdr:nvGraphicFramePr>
        <xdr:cNvPr id="2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85725</xdr:colOff>
      <xdr:row>247</xdr:row>
      <xdr:rowOff>0</xdr:rowOff>
    </xdr:from>
    <xdr:to>
      <xdr:col>16</xdr:col>
      <xdr:colOff>342900</xdr:colOff>
      <xdr:row>247</xdr:row>
      <xdr:rowOff>0</xdr:rowOff>
    </xdr:to>
    <xdr:graphicFrame macro="">
      <xdr:nvGraphicFramePr>
        <xdr:cNvPr id="2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66675</xdr:colOff>
      <xdr:row>243</xdr:row>
      <xdr:rowOff>9525</xdr:rowOff>
    </xdr:from>
    <xdr:to>
      <xdr:col>16</xdr:col>
      <xdr:colOff>342900</xdr:colOff>
      <xdr:row>259</xdr:row>
      <xdr:rowOff>114300</xdr:rowOff>
    </xdr:to>
    <xdr:graphicFrame macro="">
      <xdr:nvGraphicFramePr>
        <xdr:cNvPr id="2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D/Budget/RAT/Realignment/Realignment%20Tracking/Realignment%20Tracking%2012-13%20to%20pres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85 Recon CoSD"/>
      <sheetName val="AB85 Recon State"/>
      <sheetName val="AB85 Recon CoSD v2"/>
      <sheetName val="AB85 Recon State v2"/>
      <sheetName val="AB85 Recon"/>
      <sheetName val="Realignment 13-14 (2)"/>
      <sheetName val="Public Safety tax-"/>
      <sheetName val="Realignment 12-13 (2)"/>
      <sheetName val="Realignment 11-12 forecast "/>
      <sheetName val="Realignment 11-12 (2)"/>
      <sheetName val="Realignment 11-12"/>
      <sheetName val="Realignment 10-11 (2)"/>
      <sheetName val="Realignment 10-11"/>
      <sheetName val="Realignment 10-11 forecast "/>
      <sheetName val="Realignment 09-10 (2)"/>
      <sheetName val="Realignment 09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B22">
            <v>2717908013.6199999</v>
          </cell>
        </row>
        <row r="56">
          <cell r="B56">
            <v>1340720844.54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.ca.gov/ard_payments_pubsaf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4"/>
  <sheetViews>
    <sheetView tabSelected="1" topLeftCell="A229" zoomScaleNormal="100" workbookViewId="0">
      <selection activeCell="E271" sqref="E271"/>
    </sheetView>
  </sheetViews>
  <sheetFormatPr defaultRowHeight="12.75" x14ac:dyDescent="0.2"/>
  <cols>
    <col min="1" max="1" width="12.5703125" bestFit="1" customWidth="1"/>
    <col min="2" max="2" width="12.5703125" customWidth="1"/>
    <col min="3" max="3" width="16" style="1" customWidth="1"/>
    <col min="4" max="4" width="15.85546875" style="1" customWidth="1"/>
    <col min="5" max="5" width="15.140625" style="1" customWidth="1"/>
    <col min="6" max="6" width="12.5703125" style="1" customWidth="1"/>
  </cols>
  <sheetData>
    <row r="1" spans="1:6" ht="18" x14ac:dyDescent="0.25">
      <c r="A1" s="100" t="s">
        <v>0</v>
      </c>
      <c r="B1" s="100"/>
      <c r="C1" s="100"/>
      <c r="D1" s="100"/>
      <c r="E1" s="100"/>
      <c r="F1" s="100"/>
    </row>
    <row r="2" spans="1:6" ht="9.75" customHeight="1" thickBot="1" x14ac:dyDescent="0.25"/>
    <row r="3" spans="1:6" s="2" customFormat="1" x14ac:dyDescent="0.2">
      <c r="A3" s="97" t="s">
        <v>1</v>
      </c>
      <c r="B3" s="98"/>
      <c r="C3" s="98"/>
      <c r="D3" s="98"/>
      <c r="E3" s="98"/>
      <c r="F3" s="99"/>
    </row>
    <row r="4" spans="1:6" x14ac:dyDescent="0.2">
      <c r="A4" s="3" t="s">
        <v>2</v>
      </c>
      <c r="B4" s="4"/>
      <c r="C4" s="5" t="s">
        <v>3</v>
      </c>
      <c r="D4" s="5" t="s">
        <v>4</v>
      </c>
      <c r="E4" s="5" t="s">
        <v>5</v>
      </c>
      <c r="F4" s="6" t="s">
        <v>6</v>
      </c>
    </row>
    <row r="5" spans="1:6" x14ac:dyDescent="0.2">
      <c r="A5" s="7"/>
      <c r="B5" s="8"/>
      <c r="F5" s="9"/>
    </row>
    <row r="6" spans="1:6" x14ac:dyDescent="0.2">
      <c r="A6" s="10" t="s">
        <v>7</v>
      </c>
      <c r="B6" s="11">
        <f>C6/$C$19</f>
        <v>7.8715749960385356E-2</v>
      </c>
      <c r="C6" s="12">
        <v>179695182.91999999</v>
      </c>
      <c r="D6" s="12">
        <v>149682637.63999999</v>
      </c>
      <c r="E6" s="12">
        <f t="shared" ref="E6:E18" si="0">IF(SUM(C6-D6)=0," ",C6-D6)</f>
        <v>30012545.280000001</v>
      </c>
      <c r="F6" s="13">
        <f t="shared" ref="F6:F18" si="1">IF(ISERR(E6/D6), " ",E6/D6)</f>
        <v>0.20050785951663166</v>
      </c>
    </row>
    <row r="7" spans="1:6" x14ac:dyDescent="0.2">
      <c r="A7" s="10" t="s">
        <v>8</v>
      </c>
      <c r="B7" s="11">
        <f t="shared" ref="B7:B17" si="2">C7/$C$19</f>
        <v>7.6828901063838509E-2</v>
      </c>
      <c r="C7" s="12">
        <v>175387815.49000001</v>
      </c>
      <c r="D7" s="12">
        <v>164864759.12</v>
      </c>
      <c r="E7" s="12">
        <f t="shared" si="0"/>
        <v>10523056.370000005</v>
      </c>
      <c r="F7" s="13">
        <f t="shared" si="1"/>
        <v>6.3828415643033778E-2</v>
      </c>
    </row>
    <row r="8" spans="1:6" x14ac:dyDescent="0.2">
      <c r="A8" s="10" t="s">
        <v>9</v>
      </c>
      <c r="B8" s="11">
        <f t="shared" si="2"/>
        <v>9.7999209819396915E-2</v>
      </c>
      <c r="C8" s="12">
        <v>223716167.90000001</v>
      </c>
      <c r="D8" s="12">
        <v>191065588.65000001</v>
      </c>
      <c r="E8" s="12">
        <f t="shared" si="0"/>
        <v>32650579.25</v>
      </c>
      <c r="F8" s="13">
        <f t="shared" si="1"/>
        <v>0.17088675925736876</v>
      </c>
    </row>
    <row r="9" spans="1:6" x14ac:dyDescent="0.2">
      <c r="A9" s="10" t="s">
        <v>10</v>
      </c>
      <c r="B9" s="11">
        <f t="shared" si="2"/>
        <v>7.6340444699945623E-2</v>
      </c>
      <c r="C9" s="12">
        <v>174272749.5</v>
      </c>
      <c r="D9" s="12">
        <v>148075601.65000001</v>
      </c>
      <c r="E9" s="12">
        <f t="shared" si="0"/>
        <v>26197147.849999994</v>
      </c>
      <c r="F9" s="13">
        <f t="shared" si="1"/>
        <v>0.17691738245927291</v>
      </c>
    </row>
    <row r="10" spans="1:6" x14ac:dyDescent="0.2">
      <c r="A10" s="10" t="s">
        <v>11</v>
      </c>
      <c r="B10" s="11">
        <f t="shared" si="2"/>
        <v>7.2041784756427862E-2</v>
      </c>
      <c r="C10" s="12">
        <v>164459611.91</v>
      </c>
      <c r="D10" s="12">
        <v>161662252.12</v>
      </c>
      <c r="E10" s="12">
        <f t="shared" si="0"/>
        <v>2797359.7899999917</v>
      </c>
      <c r="F10" s="13">
        <f t="shared" si="1"/>
        <v>1.7303728936817881E-2</v>
      </c>
    </row>
    <row r="11" spans="1:6" x14ac:dyDescent="0.2">
      <c r="A11" s="10" t="s">
        <v>12</v>
      </c>
      <c r="B11" s="11">
        <f t="shared" si="2"/>
        <v>0.10494145058069873</v>
      </c>
      <c r="C11" s="12">
        <v>239564168.13</v>
      </c>
      <c r="D11" s="12">
        <v>235187469.59</v>
      </c>
      <c r="E11" s="12">
        <f t="shared" si="0"/>
        <v>4376698.5399999917</v>
      </c>
      <c r="F11" s="13">
        <f t="shared" si="1"/>
        <v>1.860940358612577E-2</v>
      </c>
    </row>
    <row r="12" spans="1:6" x14ac:dyDescent="0.2">
      <c r="A12" s="10" t="s">
        <v>13</v>
      </c>
      <c r="B12" s="11">
        <f t="shared" si="2"/>
        <v>8.1775077715043387E-2</v>
      </c>
      <c r="C12" s="12">
        <v>186679127.81999999</v>
      </c>
      <c r="D12" s="12">
        <v>156101004.28999999</v>
      </c>
      <c r="E12" s="12">
        <f t="shared" si="0"/>
        <v>30578123.530000001</v>
      </c>
      <c r="F12" s="13">
        <f t="shared" si="1"/>
        <v>0.19588678284985814</v>
      </c>
    </row>
    <row r="13" spans="1:6" x14ac:dyDescent="0.2">
      <c r="A13" s="10" t="s">
        <v>14</v>
      </c>
      <c r="B13" s="11">
        <f t="shared" si="2"/>
        <v>6.5515862133674163E-2</v>
      </c>
      <c r="C13" s="12">
        <v>149561997.90000001</v>
      </c>
      <c r="D13" s="12">
        <v>147149478.15000001</v>
      </c>
      <c r="E13" s="12">
        <f t="shared" si="0"/>
        <v>2412519.75</v>
      </c>
      <c r="F13" s="13">
        <f t="shared" si="1"/>
        <v>1.6395027561978477E-2</v>
      </c>
    </row>
    <row r="14" spans="1:6" x14ac:dyDescent="0.2">
      <c r="A14" s="10" t="s">
        <v>15</v>
      </c>
      <c r="B14" s="11">
        <f t="shared" si="2"/>
        <v>9.7426621874243446E-2</v>
      </c>
      <c r="C14" s="12">
        <v>222409043.27000001</v>
      </c>
      <c r="D14" s="12">
        <v>202916740.15000001</v>
      </c>
      <c r="E14" s="12">
        <f t="shared" si="0"/>
        <v>19492303.120000005</v>
      </c>
      <c r="F14" s="13">
        <f t="shared" si="1"/>
        <v>9.6060596605242701E-2</v>
      </c>
    </row>
    <row r="15" spans="1:6" x14ac:dyDescent="0.2">
      <c r="A15" s="10" t="s">
        <v>16</v>
      </c>
      <c r="B15" s="11">
        <f t="shared" si="2"/>
        <v>7.6314454208996518E-2</v>
      </c>
      <c r="C15" s="12">
        <v>174213417.46000001</v>
      </c>
      <c r="D15" s="12">
        <v>173916503.96000001</v>
      </c>
      <c r="E15" s="12">
        <f t="shared" si="0"/>
        <v>296913.5</v>
      </c>
      <c r="F15" s="13">
        <f t="shared" si="1"/>
        <v>1.7072186551558598E-3</v>
      </c>
    </row>
    <row r="16" spans="1:6" x14ac:dyDescent="0.2">
      <c r="A16" s="10" t="s">
        <v>17</v>
      </c>
      <c r="B16" s="11">
        <f t="shared" si="2"/>
        <v>9.3680700205934442E-2</v>
      </c>
      <c r="C16" s="12">
        <v>213857716.75999999</v>
      </c>
      <c r="D16" s="12">
        <v>214424763.25999999</v>
      </c>
      <c r="E16" s="12">
        <f t="shared" si="0"/>
        <v>-567046.5</v>
      </c>
      <c r="F16" s="13">
        <f t="shared" si="1"/>
        <v>-2.6445009959620651E-3</v>
      </c>
    </row>
    <row r="17" spans="1:6" x14ac:dyDescent="0.2">
      <c r="A17" s="14" t="s">
        <v>18</v>
      </c>
      <c r="B17" s="11">
        <f t="shared" si="2"/>
        <v>7.8419742981415019E-2</v>
      </c>
      <c r="C17" s="15">
        <v>179019447.40000001</v>
      </c>
      <c r="D17" s="15">
        <v>173891726.44999999</v>
      </c>
      <c r="E17" s="12">
        <f>IF(SUM(C17-D17)=0," ",C17-D17)</f>
        <v>5127720.9500000179</v>
      </c>
      <c r="F17" s="13">
        <f>IF(ISERR(E17/D17), " ",E17/D17)</f>
        <v>2.9488009893756613E-2</v>
      </c>
    </row>
    <row r="18" spans="1:6" x14ac:dyDescent="0.2">
      <c r="A18" s="16"/>
      <c r="B18" s="17"/>
      <c r="C18" s="18"/>
      <c r="D18" s="18"/>
      <c r="E18" s="12" t="str">
        <f t="shared" si="0"/>
        <v xml:space="preserve"> </v>
      </c>
      <c r="F18" s="19" t="str">
        <f t="shared" si="1"/>
        <v xml:space="preserve"> </v>
      </c>
    </row>
    <row r="19" spans="1:6" ht="13.5" thickBot="1" x14ac:dyDescent="0.25">
      <c r="A19" s="20" t="s">
        <v>19</v>
      </c>
      <c r="B19" s="21">
        <f>SUM(B6:B18)</f>
        <v>1</v>
      </c>
      <c r="C19" s="22">
        <f>SUM(C6:C18)</f>
        <v>2282836446.46</v>
      </c>
      <c r="D19" s="22">
        <f>SUM(D6:D18)</f>
        <v>2118938525.0300002</v>
      </c>
      <c r="E19" s="22">
        <f>SUM(E6:E18)</f>
        <v>163897921.43000001</v>
      </c>
      <c r="F19" s="23">
        <f>E19/D19</f>
        <v>7.7349068646377792E-2</v>
      </c>
    </row>
    <row r="20" spans="1:6" s="25" customFormat="1" ht="16.5" thickBot="1" x14ac:dyDescent="0.3">
      <c r="A20" s="24"/>
      <c r="B20" s="24"/>
      <c r="C20" s="24"/>
      <c r="D20" s="24"/>
      <c r="E20" s="24"/>
      <c r="F20" s="24"/>
    </row>
    <row r="21" spans="1:6" s="2" customFormat="1" ht="14.25" customHeight="1" x14ac:dyDescent="0.2">
      <c r="A21" s="97" t="s">
        <v>20</v>
      </c>
      <c r="B21" s="98"/>
      <c r="C21" s="98"/>
      <c r="D21" s="98"/>
      <c r="E21" s="98"/>
      <c r="F21" s="99"/>
    </row>
    <row r="22" spans="1:6" x14ac:dyDescent="0.2">
      <c r="A22" s="3" t="s">
        <v>2</v>
      </c>
      <c r="B22" s="4"/>
      <c r="C22" s="5" t="s">
        <v>21</v>
      </c>
      <c r="D22" s="5" t="s">
        <v>3</v>
      </c>
      <c r="E22" s="5" t="s">
        <v>5</v>
      </c>
      <c r="F22" s="6" t="s">
        <v>6</v>
      </c>
    </row>
    <row r="23" spans="1:6" x14ac:dyDescent="0.2">
      <c r="A23" s="7"/>
      <c r="B23" s="8"/>
      <c r="F23" s="9"/>
    </row>
    <row r="24" spans="1:6" x14ac:dyDescent="0.2">
      <c r="A24" s="10" t="s">
        <v>7</v>
      </c>
      <c r="B24" s="11">
        <f>C24/$C$37</f>
        <v>8.2022313395612834E-2</v>
      </c>
      <c r="C24" s="12">
        <v>181945652.63</v>
      </c>
      <c r="D24" s="12">
        <v>179695182.91999999</v>
      </c>
      <c r="E24" s="12">
        <f t="shared" ref="E24:E36" si="3">IF(SUM(C24-D24)=0," ",C24-D24)</f>
        <v>2250469.7100000083</v>
      </c>
      <c r="F24" s="13">
        <f t="shared" ref="F24:F36" si="4">IF(ISERR(E24/D24), " ",E24/D24)</f>
        <v>1.2523817686320028E-2</v>
      </c>
    </row>
    <row r="25" spans="1:6" x14ac:dyDescent="0.2">
      <c r="A25" s="10" t="s">
        <v>8</v>
      </c>
      <c r="B25" s="11">
        <f t="shared" ref="B25:B35" si="5">C25/$C$37</f>
        <v>7.7862249876956224E-2</v>
      </c>
      <c r="C25" s="12">
        <v>172717609.18000001</v>
      </c>
      <c r="D25" s="12">
        <v>175387815.49000001</v>
      </c>
      <c r="E25" s="12">
        <f t="shared" si="3"/>
        <v>-2670206.3100000024</v>
      </c>
      <c r="F25" s="13">
        <f t="shared" si="4"/>
        <v>-1.5224582748464919E-2</v>
      </c>
    </row>
    <row r="26" spans="1:6" x14ac:dyDescent="0.2">
      <c r="A26" s="10" t="s">
        <v>9</v>
      </c>
      <c r="B26" s="11">
        <f t="shared" si="5"/>
        <v>9.4423401049829631E-2</v>
      </c>
      <c r="C26" s="12">
        <v>209454313.30000001</v>
      </c>
      <c r="D26" s="12">
        <v>223716167.90000001</v>
      </c>
      <c r="E26" s="12">
        <f t="shared" si="3"/>
        <v>-14261854.599999994</v>
      </c>
      <c r="F26" s="13">
        <f t="shared" si="4"/>
        <v>-6.3749771569370756E-2</v>
      </c>
    </row>
    <row r="27" spans="1:6" x14ac:dyDescent="0.2">
      <c r="A27" s="10" t="s">
        <v>10</v>
      </c>
      <c r="B27" s="11">
        <f t="shared" si="5"/>
        <v>7.6165667504964313E-2</v>
      </c>
      <c r="C27" s="12">
        <v>168954172.44999999</v>
      </c>
      <c r="D27" s="12">
        <v>174272749.5</v>
      </c>
      <c r="E27" s="12">
        <f t="shared" si="3"/>
        <v>-5318577.0500000119</v>
      </c>
      <c r="F27" s="13">
        <f t="shared" si="4"/>
        <v>-3.0518695924975994E-2</v>
      </c>
    </row>
    <row r="28" spans="1:6" x14ac:dyDescent="0.2">
      <c r="A28" s="10" t="s">
        <v>11</v>
      </c>
      <c r="B28" s="11">
        <f t="shared" si="5"/>
        <v>7.2606693692786689E-2</v>
      </c>
      <c r="C28" s="12">
        <v>161059493.72</v>
      </c>
      <c r="D28" s="12">
        <v>164459611.91</v>
      </c>
      <c r="E28" s="12">
        <f t="shared" si="3"/>
        <v>-3400118.1899999976</v>
      </c>
      <c r="F28" s="13">
        <f t="shared" si="4"/>
        <v>-2.0674487495815699E-2</v>
      </c>
    </row>
    <row r="29" spans="1:6" x14ac:dyDescent="0.2">
      <c r="A29" s="10" t="s">
        <v>12</v>
      </c>
      <c r="B29" s="11">
        <f t="shared" si="5"/>
        <v>0.10781427877364284</v>
      </c>
      <c r="C29" s="12">
        <v>239158571.63999999</v>
      </c>
      <c r="D29" s="12">
        <v>239564168.13</v>
      </c>
      <c r="E29" s="12">
        <f t="shared" si="3"/>
        <v>-405596.49000000954</v>
      </c>
      <c r="F29" s="13">
        <f t="shared" si="4"/>
        <v>-1.6930599144522804E-3</v>
      </c>
    </row>
    <row r="30" spans="1:6" x14ac:dyDescent="0.2">
      <c r="A30" s="10" t="s">
        <v>13</v>
      </c>
      <c r="B30" s="11">
        <f t="shared" si="5"/>
        <v>7.2567435297800728E-2</v>
      </c>
      <c r="C30" s="12">
        <v>160972408.94999999</v>
      </c>
      <c r="D30" s="12">
        <v>186679127.81999999</v>
      </c>
      <c r="E30" s="12">
        <f t="shared" si="3"/>
        <v>-25706718.870000005</v>
      </c>
      <c r="F30" s="13">
        <f t="shared" si="4"/>
        <v>-0.13770537269055044</v>
      </c>
    </row>
    <row r="31" spans="1:6" x14ac:dyDescent="0.2">
      <c r="A31" s="10" t="s">
        <v>14</v>
      </c>
      <c r="B31" s="11">
        <f t="shared" si="5"/>
        <v>6.6860428910226408E-2</v>
      </c>
      <c r="C31" s="12">
        <v>148312865.97</v>
      </c>
      <c r="D31" s="12">
        <v>149561997.90000001</v>
      </c>
      <c r="E31" s="12">
        <f t="shared" si="3"/>
        <v>-1249131.9300000072</v>
      </c>
      <c r="F31" s="13">
        <f t="shared" si="4"/>
        <v>-8.3519339641023021E-3</v>
      </c>
    </row>
    <row r="32" spans="1:6" x14ac:dyDescent="0.2">
      <c r="A32" s="10" t="s">
        <v>15</v>
      </c>
      <c r="B32" s="11">
        <f t="shared" si="5"/>
        <v>9.4933834094400163E-2</v>
      </c>
      <c r="C32" s="12">
        <v>210586579.25999999</v>
      </c>
      <c r="D32" s="12">
        <v>222409043.27000001</v>
      </c>
      <c r="E32" s="12">
        <f t="shared" si="3"/>
        <v>-11822464.01000002</v>
      </c>
      <c r="F32" s="13">
        <f t="shared" si="4"/>
        <v>-5.3156399740669678E-2</v>
      </c>
    </row>
    <row r="33" spans="1:6" x14ac:dyDescent="0.2">
      <c r="A33" s="26" t="s">
        <v>16</v>
      </c>
      <c r="B33" s="11">
        <f t="shared" si="5"/>
        <v>7.9911116034692892E-2</v>
      </c>
      <c r="C33" s="27">
        <v>177262497.94</v>
      </c>
      <c r="D33" s="27">
        <v>174213417.46000001</v>
      </c>
      <c r="E33" s="27">
        <f t="shared" si="3"/>
        <v>3049080.4799999893</v>
      </c>
      <c r="F33" s="13">
        <f t="shared" si="4"/>
        <v>1.750198420107377E-2</v>
      </c>
    </row>
    <row r="34" spans="1:6" x14ac:dyDescent="0.2">
      <c r="A34" s="28" t="s">
        <v>17</v>
      </c>
      <c r="B34" s="11">
        <f t="shared" si="5"/>
        <v>9.5192217844583829E-2</v>
      </c>
      <c r="C34" s="29">
        <v>211159737.93000001</v>
      </c>
      <c r="D34" s="29">
        <v>213857716.75999999</v>
      </c>
      <c r="E34" s="30">
        <f t="shared" si="3"/>
        <v>-2697978.8299999833</v>
      </c>
      <c r="F34" s="13">
        <f t="shared" si="4"/>
        <v>-1.2615765616855281E-2</v>
      </c>
    </row>
    <row r="35" spans="1:6" x14ac:dyDescent="0.2">
      <c r="A35" s="14" t="s">
        <v>18</v>
      </c>
      <c r="B35" s="11">
        <f t="shared" si="5"/>
        <v>7.964036352450321E-2</v>
      </c>
      <c r="C35" s="15">
        <v>176661902.31999999</v>
      </c>
      <c r="D35" s="15">
        <f>C17</f>
        <v>179019447.40000001</v>
      </c>
      <c r="E35" s="15">
        <f>IF(SUM(C35-D35)=0," ",C35-D35)</f>
        <v>-2357545.0800000131</v>
      </c>
      <c r="F35" s="13">
        <f>IF(ISERR(E35/D35), " ",E35/D35)</f>
        <v>-1.3169212140021459E-2</v>
      </c>
    </row>
    <row r="36" spans="1:6" x14ac:dyDescent="0.2">
      <c r="A36" s="16"/>
      <c r="B36" s="17"/>
      <c r="C36" s="18"/>
      <c r="D36" s="18"/>
      <c r="E36" s="12" t="str">
        <f t="shared" si="3"/>
        <v xml:space="preserve"> </v>
      </c>
      <c r="F36" s="19" t="str">
        <f t="shared" si="4"/>
        <v xml:space="preserve"> </v>
      </c>
    </row>
    <row r="37" spans="1:6" ht="13.5" thickBot="1" x14ac:dyDescent="0.25">
      <c r="A37" s="20" t="s">
        <v>19</v>
      </c>
      <c r="B37" s="21">
        <f>SUM(B24:B36)</f>
        <v>0.99999999999999978</v>
      </c>
      <c r="C37" s="22">
        <f>SUM(C24:C36)</f>
        <v>2218245805.2900004</v>
      </c>
      <c r="D37" s="22">
        <f>SUM(D24:D36)</f>
        <v>2282836446.46</v>
      </c>
      <c r="E37" s="22">
        <f>SUM(E24:E36)</f>
        <v>-64590641.170000046</v>
      </c>
      <c r="F37" s="23">
        <f>E37/D37</f>
        <v>-2.8294029241630915E-2</v>
      </c>
    </row>
    <row r="38" spans="1:6" ht="9" customHeight="1" thickBot="1" x14ac:dyDescent="0.25"/>
    <row r="39" spans="1:6" s="2" customFormat="1" x14ac:dyDescent="0.2">
      <c r="A39" s="97" t="s">
        <v>22</v>
      </c>
      <c r="B39" s="98"/>
      <c r="C39" s="98"/>
      <c r="D39" s="98"/>
      <c r="E39" s="98"/>
      <c r="F39" s="99"/>
    </row>
    <row r="40" spans="1:6" x14ac:dyDescent="0.2">
      <c r="A40" s="3" t="s">
        <v>2</v>
      </c>
      <c r="B40" s="4"/>
      <c r="C40" s="5" t="s">
        <v>23</v>
      </c>
      <c r="D40" s="5" t="s">
        <v>21</v>
      </c>
      <c r="E40" s="5" t="s">
        <v>5</v>
      </c>
      <c r="F40" s="6" t="s">
        <v>6</v>
      </c>
    </row>
    <row r="41" spans="1:6" x14ac:dyDescent="0.2">
      <c r="A41" s="7"/>
      <c r="B41" s="8"/>
      <c r="F41" s="9"/>
    </row>
    <row r="42" spans="1:6" x14ac:dyDescent="0.2">
      <c r="A42" s="10" t="s">
        <v>7</v>
      </c>
      <c r="B42" s="11">
        <f>C42/$C$55</f>
        <v>7.7236689442046771E-2</v>
      </c>
      <c r="C42" s="12">
        <v>175545069.38999999</v>
      </c>
      <c r="D42" s="12">
        <v>181945652.63</v>
      </c>
      <c r="E42" s="12">
        <f t="shared" ref="E42:E54" si="6">IF(SUM(C42-D42)=0," ",C42-D42)</f>
        <v>-6400583.2400000095</v>
      </c>
      <c r="F42" s="13">
        <f t="shared" ref="F42:F54" si="7">IF(ISERR(E42/D42), " ",E42/D42)</f>
        <v>-3.5178544513047923E-2</v>
      </c>
    </row>
    <row r="43" spans="1:6" x14ac:dyDescent="0.2">
      <c r="A43" s="10" t="s">
        <v>8</v>
      </c>
      <c r="B43" s="11">
        <f t="shared" ref="B43:B53" si="8">C43/$C$55</f>
        <v>7.7313795232680671E-2</v>
      </c>
      <c r="C43" s="12">
        <v>175720316.94999999</v>
      </c>
      <c r="D43" s="12">
        <v>172717609.18000001</v>
      </c>
      <c r="E43" s="12">
        <f t="shared" si="6"/>
        <v>3002707.7699999809</v>
      </c>
      <c r="F43" s="13">
        <f t="shared" si="7"/>
        <v>1.7385070255752949E-2</v>
      </c>
    </row>
    <row r="44" spans="1:6" x14ac:dyDescent="0.2">
      <c r="A44" s="10" t="s">
        <v>9</v>
      </c>
      <c r="B44" s="11">
        <f t="shared" si="8"/>
        <v>9.3962779274990679E-2</v>
      </c>
      <c r="C44" s="12">
        <v>213560455.88</v>
      </c>
      <c r="D44" s="12">
        <v>209454313.30000001</v>
      </c>
      <c r="E44" s="12">
        <f t="shared" si="6"/>
        <v>4106142.5799999833</v>
      </c>
      <c r="F44" s="13">
        <f t="shared" si="7"/>
        <v>1.9604001060215853E-2</v>
      </c>
    </row>
    <row r="45" spans="1:6" x14ac:dyDescent="0.2">
      <c r="A45" s="10" t="s">
        <v>10</v>
      </c>
      <c r="B45" s="11">
        <f t="shared" si="8"/>
        <v>7.2899123489743922E-2</v>
      </c>
      <c r="C45" s="12">
        <v>165686564.03999999</v>
      </c>
      <c r="D45" s="12">
        <v>168954172.44999999</v>
      </c>
      <c r="E45" s="12">
        <f t="shared" si="6"/>
        <v>-3267608.4099999964</v>
      </c>
      <c r="F45" s="13">
        <f t="shared" si="7"/>
        <v>-1.9340205468835088E-2</v>
      </c>
    </row>
    <row r="46" spans="1:6" x14ac:dyDescent="0.2">
      <c r="A46" s="10" t="s">
        <v>11</v>
      </c>
      <c r="B46" s="11">
        <f t="shared" si="8"/>
        <v>7.3726968689836636E-2</v>
      </c>
      <c r="C46" s="12">
        <v>167568106.91999999</v>
      </c>
      <c r="D46" s="12">
        <v>161059493.72</v>
      </c>
      <c r="E46" s="12">
        <f t="shared" si="6"/>
        <v>6508613.1999999881</v>
      </c>
      <c r="F46" s="13">
        <f t="shared" si="7"/>
        <v>4.0411235933195802E-2</v>
      </c>
    </row>
    <row r="47" spans="1:6" x14ac:dyDescent="0.2">
      <c r="A47" s="10" t="s">
        <v>12</v>
      </c>
      <c r="B47" s="11">
        <f t="shared" si="8"/>
        <v>0.11048142951656274</v>
      </c>
      <c r="C47" s="12">
        <v>251104369.58000001</v>
      </c>
      <c r="D47" s="12">
        <v>239158571.63999999</v>
      </c>
      <c r="E47" s="12">
        <f t="shared" si="6"/>
        <v>11945797.940000027</v>
      </c>
      <c r="F47" s="13">
        <f t="shared" si="7"/>
        <v>4.9949277828861466E-2</v>
      </c>
    </row>
    <row r="48" spans="1:6" x14ac:dyDescent="0.2">
      <c r="A48" s="10" t="s">
        <v>13</v>
      </c>
      <c r="B48" s="11">
        <f t="shared" si="8"/>
        <v>7.4870754815529808E-2</v>
      </c>
      <c r="C48" s="12">
        <v>170167726.56</v>
      </c>
      <c r="D48" s="12">
        <f t="shared" ref="D48:D53" si="9">C30</f>
        <v>160972408.94999999</v>
      </c>
      <c r="E48" s="12">
        <f t="shared" si="6"/>
        <v>9195317.6100000143</v>
      </c>
      <c r="F48" s="13">
        <f t="shared" si="7"/>
        <v>5.7123563410523312E-2</v>
      </c>
    </row>
    <row r="49" spans="1:6" x14ac:dyDescent="0.2">
      <c r="A49" s="10" t="s">
        <v>14</v>
      </c>
      <c r="B49" s="11">
        <f t="shared" si="8"/>
        <v>6.8011242336658215E-2</v>
      </c>
      <c r="C49" s="12">
        <v>154577291.46000001</v>
      </c>
      <c r="D49" s="12">
        <f t="shared" si="9"/>
        <v>148312865.97</v>
      </c>
      <c r="E49" s="12">
        <f t="shared" si="6"/>
        <v>6264425.4900000095</v>
      </c>
      <c r="F49" s="13">
        <f t="shared" si="7"/>
        <v>4.2237910035850479E-2</v>
      </c>
    </row>
    <row r="50" spans="1:6" x14ac:dyDescent="0.2">
      <c r="A50" s="10" t="s">
        <v>15</v>
      </c>
      <c r="B50" s="11">
        <f t="shared" si="8"/>
        <v>9.654442472090223E-2</v>
      </c>
      <c r="C50" s="12">
        <v>219428070.50999999</v>
      </c>
      <c r="D50" s="12">
        <f t="shared" si="9"/>
        <v>210586579.25999999</v>
      </c>
      <c r="E50" s="12">
        <f t="shared" si="6"/>
        <v>8841491.25</v>
      </c>
      <c r="F50" s="13">
        <f t="shared" si="7"/>
        <v>4.1985065150252923E-2</v>
      </c>
    </row>
    <row r="51" spans="1:6" x14ac:dyDescent="0.2">
      <c r="A51" s="10" t="s">
        <v>16</v>
      </c>
      <c r="B51" s="11">
        <f t="shared" si="8"/>
        <v>7.7684918243316164E-2</v>
      </c>
      <c r="C51" s="12">
        <v>176563812.63999999</v>
      </c>
      <c r="D51" s="12">
        <f t="shared" si="9"/>
        <v>177262497.94</v>
      </c>
      <c r="E51" s="30">
        <f t="shared" si="6"/>
        <v>-698685.30000001192</v>
      </c>
      <c r="F51" s="13">
        <f t="shared" si="7"/>
        <v>-3.9415291340219273E-3</v>
      </c>
    </row>
    <row r="52" spans="1:6" x14ac:dyDescent="0.2">
      <c r="A52" s="10" t="s">
        <v>17</v>
      </c>
      <c r="B52" s="11">
        <f t="shared" si="8"/>
        <v>9.2503988470421461E-2</v>
      </c>
      <c r="C52" s="12">
        <v>210244887.40000001</v>
      </c>
      <c r="D52" s="12">
        <f t="shared" si="9"/>
        <v>211159737.93000001</v>
      </c>
      <c r="E52" s="30">
        <f t="shared" si="6"/>
        <v>-914850.53000000119</v>
      </c>
      <c r="F52" s="13">
        <f t="shared" si="7"/>
        <v>-4.3325045719808412E-3</v>
      </c>
    </row>
    <row r="53" spans="1:6" x14ac:dyDescent="0.2">
      <c r="A53" s="10" t="s">
        <v>18</v>
      </c>
      <c r="B53" s="11">
        <f t="shared" si="8"/>
        <v>8.4763885767310823E-2</v>
      </c>
      <c r="C53" s="12">
        <v>192653029.49000001</v>
      </c>
      <c r="D53" s="12">
        <f t="shared" si="9"/>
        <v>176661902.31999999</v>
      </c>
      <c r="E53" s="30">
        <f>IF(SUM(C53-D53)=0," ",C53-D53)</f>
        <v>15991127.170000017</v>
      </c>
      <c r="F53" s="13">
        <f>IF(ISERR(E53/D53), " ",E53/D53)</f>
        <v>9.0518255266119438E-2</v>
      </c>
    </row>
    <row r="54" spans="1:6" x14ac:dyDescent="0.2">
      <c r="A54" s="16"/>
      <c r="B54" s="17"/>
      <c r="C54" s="18"/>
      <c r="D54" s="18"/>
      <c r="E54" s="12" t="str">
        <f t="shared" si="6"/>
        <v xml:space="preserve"> </v>
      </c>
      <c r="F54" s="19" t="str">
        <f t="shared" si="7"/>
        <v xml:space="preserve"> </v>
      </c>
    </row>
    <row r="55" spans="1:6" ht="13.5" thickBot="1" x14ac:dyDescent="0.25">
      <c r="A55" s="20" t="s">
        <v>19</v>
      </c>
      <c r="B55" s="21">
        <f>SUM(B42:B54)</f>
        <v>1</v>
      </c>
      <c r="C55" s="22">
        <f>SUM(C42:C54)</f>
        <v>2272819700.8199997</v>
      </c>
      <c r="D55" s="22">
        <f>SUM(D42:D54)</f>
        <v>2218245805.2900004</v>
      </c>
      <c r="E55" s="22">
        <f>SUM(E42:E54)</f>
        <v>54573895.530000001</v>
      </c>
      <c r="F55" s="23">
        <f>E55/D55</f>
        <v>2.4602275996579798E-2</v>
      </c>
    </row>
    <row r="56" spans="1:6" ht="13.5" thickBot="1" x14ac:dyDescent="0.25"/>
    <row r="57" spans="1:6" s="2" customFormat="1" x14ac:dyDescent="0.2">
      <c r="A57" s="97" t="s">
        <v>24</v>
      </c>
      <c r="B57" s="98"/>
      <c r="C57" s="98"/>
      <c r="D57" s="98"/>
      <c r="E57" s="98"/>
      <c r="F57" s="99"/>
    </row>
    <row r="58" spans="1:6" x14ac:dyDescent="0.2">
      <c r="A58" s="3" t="s">
        <v>2</v>
      </c>
      <c r="B58" s="4"/>
      <c r="C58" s="5" t="s">
        <v>25</v>
      </c>
      <c r="D58" s="5" t="s">
        <v>26</v>
      </c>
      <c r="E58" s="5" t="s">
        <v>5</v>
      </c>
      <c r="F58" s="6" t="s">
        <v>6</v>
      </c>
    </row>
    <row r="59" spans="1:6" x14ac:dyDescent="0.2">
      <c r="A59" s="7"/>
      <c r="B59" s="8"/>
      <c r="F59" s="9"/>
    </row>
    <row r="60" spans="1:6" x14ac:dyDescent="0.2">
      <c r="A60" s="10" t="s">
        <v>7</v>
      </c>
      <c r="B60" s="11">
        <f>C60/$C$73</f>
        <v>7.7486382126449024E-2</v>
      </c>
      <c r="C60" s="12">
        <v>188617132.46000001</v>
      </c>
      <c r="D60" s="12">
        <f t="shared" ref="D60:D71" si="10">C42</f>
        <v>175545069.38999999</v>
      </c>
      <c r="E60" s="12">
        <f t="shared" ref="E60:E70" si="11">IF(SUM(C60-D60)=0," ",C60-D60)</f>
        <v>13072063.070000023</v>
      </c>
      <c r="F60" s="13">
        <f t="shared" ref="F60:F70" si="12">IF(ISERR(E60/D60), " ",E60/D60)</f>
        <v>7.4465566679964401E-2</v>
      </c>
    </row>
    <row r="61" spans="1:6" x14ac:dyDescent="0.2">
      <c r="A61" s="10" t="s">
        <v>8</v>
      </c>
      <c r="B61" s="11">
        <f t="shared" ref="B61:B71" si="13">C61/$C$73</f>
        <v>7.4361941547582952E-2</v>
      </c>
      <c r="C61" s="12">
        <v>181011628.03</v>
      </c>
      <c r="D61" s="12">
        <f t="shared" si="10"/>
        <v>175720316.94999999</v>
      </c>
      <c r="E61" s="12">
        <f t="shared" si="11"/>
        <v>5291311.0800000131</v>
      </c>
      <c r="F61" s="13">
        <f t="shared" si="12"/>
        <v>3.0112118916252692E-2</v>
      </c>
    </row>
    <row r="62" spans="1:6" x14ac:dyDescent="0.2">
      <c r="A62" s="10" t="s">
        <v>9</v>
      </c>
      <c r="B62" s="11">
        <f t="shared" si="13"/>
        <v>9.0834226835154311E-2</v>
      </c>
      <c r="C62" s="12">
        <v>221108418.34</v>
      </c>
      <c r="D62" s="12">
        <f t="shared" si="10"/>
        <v>213560455.88</v>
      </c>
      <c r="E62" s="12">
        <f t="shared" si="11"/>
        <v>7547962.4600000083</v>
      </c>
      <c r="F62" s="13">
        <f t="shared" si="12"/>
        <v>3.5343446093040846E-2</v>
      </c>
    </row>
    <row r="63" spans="1:6" x14ac:dyDescent="0.2">
      <c r="A63" s="10" t="s">
        <v>10</v>
      </c>
      <c r="B63" s="11">
        <f t="shared" si="13"/>
        <v>7.6621944634795547E-2</v>
      </c>
      <c r="C63" s="12">
        <v>186512921.16</v>
      </c>
      <c r="D63" s="12">
        <f t="shared" si="10"/>
        <v>165686564.03999999</v>
      </c>
      <c r="E63" s="12">
        <f t="shared" si="11"/>
        <v>20826357.120000005</v>
      </c>
      <c r="F63" s="13">
        <f t="shared" si="12"/>
        <v>0.12569732036311715</v>
      </c>
    </row>
    <row r="64" spans="1:6" x14ac:dyDescent="0.2">
      <c r="A64" s="10" t="s">
        <v>11</v>
      </c>
      <c r="B64" s="11">
        <f t="shared" si="13"/>
        <v>7.235751990481247E-2</v>
      </c>
      <c r="C64" s="12">
        <v>176132470.53</v>
      </c>
      <c r="D64" s="12">
        <f t="shared" si="10"/>
        <v>167568106.91999999</v>
      </c>
      <c r="E64" s="12">
        <f t="shared" si="11"/>
        <v>8564363.6100000143</v>
      </c>
      <c r="F64" s="13">
        <f t="shared" si="12"/>
        <v>5.1109747358360949E-2</v>
      </c>
    </row>
    <row r="65" spans="1:6" x14ac:dyDescent="0.2">
      <c r="A65" s="10" t="s">
        <v>12</v>
      </c>
      <c r="B65" s="11">
        <f t="shared" si="13"/>
        <v>9.9051313547284317E-2</v>
      </c>
      <c r="C65" s="12">
        <v>241110427.59999999</v>
      </c>
      <c r="D65" s="12">
        <f t="shared" si="10"/>
        <v>251104369.58000001</v>
      </c>
      <c r="E65" s="12">
        <f t="shared" si="11"/>
        <v>-9993941.9800000191</v>
      </c>
      <c r="F65" s="13">
        <f t="shared" si="12"/>
        <v>-3.9799952492726429E-2</v>
      </c>
    </row>
    <row r="66" spans="1:6" x14ac:dyDescent="0.2">
      <c r="A66" s="10" t="s">
        <v>13</v>
      </c>
      <c r="B66" s="11">
        <f t="shared" si="13"/>
        <v>6.9023166987996348E-2</v>
      </c>
      <c r="C66" s="12">
        <v>168015998.08000001</v>
      </c>
      <c r="D66" s="12">
        <f t="shared" si="10"/>
        <v>170167726.56</v>
      </c>
      <c r="E66" s="12">
        <f t="shared" si="11"/>
        <v>-2151728.4799999893</v>
      </c>
      <c r="F66" s="13">
        <f t="shared" si="12"/>
        <v>-1.2644750702720966E-2</v>
      </c>
    </row>
    <row r="67" spans="1:6" x14ac:dyDescent="0.2">
      <c r="A67" s="10" t="s">
        <v>14</v>
      </c>
      <c r="B67" s="11">
        <f t="shared" si="13"/>
        <v>5.2856974373485452E-2</v>
      </c>
      <c r="C67" s="12">
        <v>128664297.69</v>
      </c>
      <c r="D67" s="12">
        <f t="shared" si="10"/>
        <v>154577291.46000001</v>
      </c>
      <c r="E67" s="12">
        <f t="shared" si="11"/>
        <v>-25912993.770000011</v>
      </c>
      <c r="F67" s="13">
        <f t="shared" si="12"/>
        <v>-0.16763777864943066</v>
      </c>
    </row>
    <row r="68" spans="1:6" x14ac:dyDescent="0.2">
      <c r="A68" s="10" t="s">
        <v>15</v>
      </c>
      <c r="B68" s="11">
        <f t="shared" si="13"/>
        <v>0.10108390748057797</v>
      </c>
      <c r="C68" s="12">
        <v>246058162.00999999</v>
      </c>
      <c r="D68" s="12">
        <f t="shared" si="10"/>
        <v>219428070.50999999</v>
      </c>
      <c r="E68" s="12">
        <f t="shared" si="11"/>
        <v>26630091.5</v>
      </c>
      <c r="F68" s="13">
        <f t="shared" si="12"/>
        <v>0.1213613711231462</v>
      </c>
    </row>
    <row r="69" spans="1:6" x14ac:dyDescent="0.2">
      <c r="A69" s="10" t="s">
        <v>16</v>
      </c>
      <c r="B69" s="11">
        <f t="shared" si="13"/>
        <v>0.10544479851675354</v>
      </c>
      <c r="C69" s="12">
        <v>256673430.65000001</v>
      </c>
      <c r="D69" s="12">
        <f t="shared" si="10"/>
        <v>176563812.63999999</v>
      </c>
      <c r="E69" s="30">
        <f t="shared" si="11"/>
        <v>80109618.01000002</v>
      </c>
      <c r="F69" s="13">
        <f t="shared" si="12"/>
        <v>0.45371481739204034</v>
      </c>
    </row>
    <row r="70" spans="1:6" x14ac:dyDescent="0.2">
      <c r="A70" s="10" t="s">
        <v>17</v>
      </c>
      <c r="B70" s="11">
        <f t="shared" si="13"/>
        <v>9.2394574369558655E-2</v>
      </c>
      <c r="C70" s="12">
        <v>224906611.90000001</v>
      </c>
      <c r="D70" s="12">
        <f t="shared" si="10"/>
        <v>210244887.40000001</v>
      </c>
      <c r="E70" s="30">
        <f t="shared" si="11"/>
        <v>14661724.5</v>
      </c>
      <c r="F70" s="13">
        <f t="shared" si="12"/>
        <v>6.9736413956670601E-2</v>
      </c>
    </row>
    <row r="71" spans="1:6" x14ac:dyDescent="0.2">
      <c r="A71" s="10" t="s">
        <v>18</v>
      </c>
      <c r="B71" s="11">
        <f t="shared" si="13"/>
        <v>8.8483249675549464E-2</v>
      </c>
      <c r="C71" s="12">
        <v>215385676.38</v>
      </c>
      <c r="D71" s="12">
        <f t="shared" si="10"/>
        <v>192653029.49000001</v>
      </c>
      <c r="E71" s="30">
        <f>IF(SUM(C71-D71)=0," ",C71-D71)</f>
        <v>22732646.889999986</v>
      </c>
      <c r="F71" s="13">
        <f>IF(ISERR(E71/D71), " ",E71/D71)</f>
        <v>0.11799786876011707</v>
      </c>
    </row>
    <row r="72" spans="1:6" x14ac:dyDescent="0.2">
      <c r="A72" s="16"/>
      <c r="B72" s="17"/>
      <c r="C72" s="18"/>
      <c r="D72" s="18"/>
      <c r="E72" s="12" t="str">
        <f>IF(SUM(C72-D72)=0," ",C72-D72)</f>
        <v xml:space="preserve"> </v>
      </c>
      <c r="F72" s="19" t="str">
        <f>IF(ISERR(E72/D72), " ",E72/D72)</f>
        <v xml:space="preserve"> </v>
      </c>
    </row>
    <row r="73" spans="1:6" ht="13.5" thickBot="1" x14ac:dyDescent="0.25">
      <c r="A73" s="20" t="s">
        <v>19</v>
      </c>
      <c r="B73" s="21">
        <f>SUM(B60:B72)</f>
        <v>1</v>
      </c>
      <c r="C73" s="22">
        <f>SUM(C60:C72)</f>
        <v>2434197174.8299999</v>
      </c>
      <c r="D73" s="22">
        <f>SUM(D60:D72)</f>
        <v>2272819700.8199997</v>
      </c>
      <c r="E73" s="22">
        <f>SUM(E60:E72)</f>
        <v>161377474.01000005</v>
      </c>
      <c r="F73" s="23">
        <f>E73/D73</f>
        <v>7.10032009806046E-2</v>
      </c>
    </row>
    <row r="74" spans="1:6" ht="13.5" thickBot="1" x14ac:dyDescent="0.25"/>
    <row r="75" spans="1:6" x14ac:dyDescent="0.2">
      <c r="A75" s="97" t="s">
        <v>27</v>
      </c>
      <c r="B75" s="98"/>
      <c r="C75" s="98"/>
      <c r="D75" s="98"/>
      <c r="E75" s="98"/>
      <c r="F75" s="99"/>
    </row>
    <row r="76" spans="1:6" x14ac:dyDescent="0.2">
      <c r="A76" s="3" t="s">
        <v>2</v>
      </c>
      <c r="B76" s="4"/>
      <c r="C76" s="5" t="s">
        <v>28</v>
      </c>
      <c r="D76" s="5" t="s">
        <v>25</v>
      </c>
      <c r="E76" s="5" t="s">
        <v>5</v>
      </c>
      <c r="F76" s="6" t="s">
        <v>6</v>
      </c>
    </row>
    <row r="77" spans="1:6" x14ac:dyDescent="0.2">
      <c r="A77" s="7"/>
      <c r="B77" s="8"/>
      <c r="F77" s="9"/>
    </row>
    <row r="78" spans="1:6" s="25" customFormat="1" ht="15" x14ac:dyDescent="0.2">
      <c r="A78" s="10" t="s">
        <v>7</v>
      </c>
      <c r="B78" s="11">
        <f>C78/$C$91</f>
        <v>7.7957190395093565E-2</v>
      </c>
      <c r="C78" s="12">
        <v>204348715.36000001</v>
      </c>
      <c r="D78" s="12">
        <v>188617132.46000001</v>
      </c>
      <c r="E78" s="12">
        <f t="shared" ref="E78:E88" si="14">IF(SUM(C78-D78)=0," ",C78-D78)</f>
        <v>15731582.900000006</v>
      </c>
      <c r="F78" s="13">
        <f t="shared" ref="F78:F88" si="15">IF(ISERR(E78/D78), " ",E78/D78)</f>
        <v>8.3404846075348954E-2</v>
      </c>
    </row>
    <row r="79" spans="1:6" x14ac:dyDescent="0.2">
      <c r="A79" s="10" t="s">
        <v>8</v>
      </c>
      <c r="B79" s="11">
        <f t="shared" ref="B79:B89" si="16">C79/$C$91</f>
        <v>7.5156221086478417E-2</v>
      </c>
      <c r="C79" s="12">
        <v>197006551.31999999</v>
      </c>
      <c r="D79" s="12">
        <f t="shared" ref="D79:D84" si="17">C61</f>
        <v>181011628.03</v>
      </c>
      <c r="E79" s="12">
        <f t="shared" si="14"/>
        <v>15994923.289999992</v>
      </c>
      <c r="F79" s="13">
        <f t="shared" si="15"/>
        <v>8.8364065138119577E-2</v>
      </c>
    </row>
    <row r="80" spans="1:6" x14ac:dyDescent="0.2">
      <c r="A80" s="10" t="s">
        <v>9</v>
      </c>
      <c r="B80" s="11">
        <f t="shared" si="16"/>
        <v>8.6695199000352163E-2</v>
      </c>
      <c r="C80" s="12">
        <v>227253604.88</v>
      </c>
      <c r="D80" s="12">
        <f t="shared" si="17"/>
        <v>221108418.34</v>
      </c>
      <c r="E80" s="12">
        <f t="shared" si="14"/>
        <v>6145186.5399999917</v>
      </c>
      <c r="F80" s="13">
        <f t="shared" si="15"/>
        <v>2.7792639403491613E-2</v>
      </c>
    </row>
    <row r="81" spans="1:6" x14ac:dyDescent="0.2">
      <c r="A81" s="10" t="s">
        <v>10</v>
      </c>
      <c r="B81" s="11">
        <f t="shared" si="16"/>
        <v>7.7345549201612823E-2</v>
      </c>
      <c r="C81" s="12">
        <v>202745423.97</v>
      </c>
      <c r="D81" s="12">
        <f t="shared" si="17"/>
        <v>186512921.16</v>
      </c>
      <c r="E81" s="12">
        <f t="shared" si="14"/>
        <v>16232502.810000002</v>
      </c>
      <c r="F81" s="13">
        <f t="shared" si="15"/>
        <v>8.703151883013488E-2</v>
      </c>
    </row>
    <row r="82" spans="1:6" x14ac:dyDescent="0.2">
      <c r="A82" s="10" t="s">
        <v>11</v>
      </c>
      <c r="B82" s="11">
        <f t="shared" si="16"/>
        <v>7.6019216187707142E-2</v>
      </c>
      <c r="C82" s="12">
        <v>199268715.19999999</v>
      </c>
      <c r="D82" s="12">
        <f t="shared" si="17"/>
        <v>176132470.53</v>
      </c>
      <c r="E82" s="12">
        <f t="shared" si="14"/>
        <v>23136244.669999987</v>
      </c>
      <c r="F82" s="13">
        <f t="shared" si="15"/>
        <v>0.13135706664637556</v>
      </c>
    </row>
    <row r="83" spans="1:6" x14ac:dyDescent="0.2">
      <c r="A83" s="10" t="s">
        <v>12</v>
      </c>
      <c r="B83" s="11">
        <f t="shared" si="16"/>
        <v>0.10800314004463568</v>
      </c>
      <c r="C83" s="12">
        <v>283107982.87</v>
      </c>
      <c r="D83" s="12">
        <f t="shared" si="17"/>
        <v>241110427.59999999</v>
      </c>
      <c r="E83" s="12">
        <f t="shared" si="14"/>
        <v>41997555.270000011</v>
      </c>
      <c r="F83" s="13">
        <f t="shared" si="15"/>
        <v>0.17418390273718717</v>
      </c>
    </row>
    <row r="84" spans="1:6" x14ac:dyDescent="0.2">
      <c r="A84" s="10" t="s">
        <v>13</v>
      </c>
      <c r="B84" s="11">
        <f t="shared" si="16"/>
        <v>6.7190089695598407E-2</v>
      </c>
      <c r="C84" s="12">
        <v>176124978.91</v>
      </c>
      <c r="D84" s="12">
        <f t="shared" si="17"/>
        <v>168015998.08000001</v>
      </c>
      <c r="E84" s="12">
        <f t="shared" si="14"/>
        <v>8108980.8299999833</v>
      </c>
      <c r="F84" s="13">
        <f t="shared" si="15"/>
        <v>4.8263147097093284E-2</v>
      </c>
    </row>
    <row r="85" spans="1:6" x14ac:dyDescent="0.2">
      <c r="A85" s="10" t="s">
        <v>14</v>
      </c>
      <c r="B85" s="11">
        <f t="shared" si="16"/>
        <v>7.347816377138458E-2</v>
      </c>
      <c r="C85" s="12">
        <v>192607869.75</v>
      </c>
      <c r="D85" s="12">
        <f>C67</f>
        <v>128664297.69</v>
      </c>
      <c r="E85" s="12">
        <f t="shared" si="14"/>
        <v>63943572.060000002</v>
      </c>
      <c r="F85" s="13">
        <f t="shared" si="15"/>
        <v>0.49697991756861548</v>
      </c>
    </row>
    <row r="86" spans="1:6" x14ac:dyDescent="0.2">
      <c r="A86" s="10" t="s">
        <v>15</v>
      </c>
      <c r="B86" s="11">
        <f t="shared" si="16"/>
        <v>9.3310667904926689E-2</v>
      </c>
      <c r="C86" s="12">
        <v>244594693.81999999</v>
      </c>
      <c r="D86" s="12">
        <f>C68</f>
        <v>246058162.00999999</v>
      </c>
      <c r="E86" s="12">
        <f t="shared" si="14"/>
        <v>-1463468.1899999976</v>
      </c>
      <c r="F86" s="13">
        <f t="shared" si="15"/>
        <v>-5.947651474127979E-3</v>
      </c>
    </row>
    <row r="87" spans="1:6" x14ac:dyDescent="0.2">
      <c r="A87" s="10" t="s">
        <v>16</v>
      </c>
      <c r="B87" s="11">
        <f t="shared" si="16"/>
        <v>8.7101031177289956E-2</v>
      </c>
      <c r="C87" s="12">
        <v>228317410.33000001</v>
      </c>
      <c r="D87" s="12">
        <f>C69</f>
        <v>256673430.65000001</v>
      </c>
      <c r="E87" s="30">
        <f t="shared" si="14"/>
        <v>-28356020.319999993</v>
      </c>
      <c r="F87" s="13">
        <f t="shared" si="15"/>
        <v>-0.11047508987662331</v>
      </c>
    </row>
    <row r="88" spans="1:6" x14ac:dyDescent="0.2">
      <c r="A88" s="10" t="s">
        <v>17</v>
      </c>
      <c r="B88" s="11">
        <f t="shared" si="16"/>
        <v>0.10121172358508279</v>
      </c>
      <c r="C88" s="12">
        <v>265305683.66</v>
      </c>
      <c r="D88" s="12">
        <f>C70</f>
        <v>224906611.90000001</v>
      </c>
      <c r="E88" s="30">
        <f t="shared" si="14"/>
        <v>40399071.75999999</v>
      </c>
      <c r="F88" s="13">
        <f t="shared" si="15"/>
        <v>0.17962598528656235</v>
      </c>
    </row>
    <row r="89" spans="1:6" x14ac:dyDescent="0.2">
      <c r="A89" s="10" t="s">
        <v>18</v>
      </c>
      <c r="B89" s="11">
        <f t="shared" si="16"/>
        <v>7.6531807949837938E-2</v>
      </c>
      <c r="C89" s="12">
        <v>200612368.91</v>
      </c>
      <c r="D89" s="12">
        <f>C71</f>
        <v>215385676.38</v>
      </c>
      <c r="E89" s="30">
        <f>IF(SUM(C89-D89)=0," ",C89-D89)</f>
        <v>-14773307.469999999</v>
      </c>
      <c r="F89" s="13">
        <f>IF(ISERR(E89/D89), " ",E89/D89)</f>
        <v>-6.859001823285496E-2</v>
      </c>
    </row>
    <row r="90" spans="1:6" x14ac:dyDescent="0.2">
      <c r="A90" s="16"/>
      <c r="B90" s="17"/>
      <c r="C90" s="18"/>
      <c r="D90" s="18"/>
      <c r="E90" s="12" t="str">
        <f>IF(SUM(C90-D90)=0," ",C90-D90)</f>
        <v xml:space="preserve"> </v>
      </c>
      <c r="F90" s="19" t="str">
        <f>IF(ISERR(E90/D90), " ",E90/D90)</f>
        <v xml:space="preserve"> </v>
      </c>
    </row>
    <row r="91" spans="1:6" ht="13.5" thickBot="1" x14ac:dyDescent="0.25">
      <c r="A91" s="20" t="s">
        <v>19</v>
      </c>
      <c r="B91" s="21">
        <f>SUM(B78:B90)</f>
        <v>1.0000000000000002</v>
      </c>
      <c r="C91" s="22">
        <f>SUM(C78:C90)</f>
        <v>2621293998.9799995</v>
      </c>
      <c r="D91" s="22">
        <f>SUM(D78:D90)</f>
        <v>2434197174.8299999</v>
      </c>
      <c r="E91" s="22">
        <f>SUM(E78:E90)</f>
        <v>187096824.14999998</v>
      </c>
      <c r="F91" s="23">
        <f>E91/D91</f>
        <v>7.6861819611250881E-2</v>
      </c>
    </row>
    <row r="92" spans="1:6" ht="13.5" thickBot="1" x14ac:dyDescent="0.25"/>
    <row r="93" spans="1:6" x14ac:dyDescent="0.2">
      <c r="A93" s="97" t="s">
        <v>29</v>
      </c>
      <c r="B93" s="98"/>
      <c r="C93" s="98"/>
      <c r="D93" s="98"/>
      <c r="E93" s="98"/>
      <c r="F93" s="99"/>
    </row>
    <row r="94" spans="1:6" x14ac:dyDescent="0.2">
      <c r="A94" s="3" t="s">
        <v>2</v>
      </c>
      <c r="B94" s="4"/>
      <c r="C94" s="5" t="s">
        <v>30</v>
      </c>
      <c r="D94" s="5" t="s">
        <v>28</v>
      </c>
      <c r="E94" s="5" t="s">
        <v>5</v>
      </c>
      <c r="F94" s="6" t="s">
        <v>6</v>
      </c>
    </row>
    <row r="95" spans="1:6" x14ac:dyDescent="0.2">
      <c r="A95" s="7"/>
      <c r="B95" s="8"/>
      <c r="F95" s="9"/>
    </row>
    <row r="96" spans="1:6" s="25" customFormat="1" ht="15" x14ac:dyDescent="0.2">
      <c r="A96" s="10" t="s">
        <v>7</v>
      </c>
      <c r="B96" s="11">
        <f>C96/$C$109</f>
        <v>8.5242084430452725E-2</v>
      </c>
      <c r="C96" s="12">
        <v>241798722</v>
      </c>
      <c r="D96" s="12">
        <v>204348715.36000001</v>
      </c>
      <c r="E96" s="12">
        <f t="shared" ref="E96:E106" si="18">IF(SUM(C96-D96)=0," ",C96-D96)</f>
        <v>37450006.639999986</v>
      </c>
      <c r="F96" s="13">
        <f t="shared" ref="F96:F106" si="19">IF(ISERR(E96/D96), " ",E96/D96)</f>
        <v>0.18326519241397976</v>
      </c>
    </row>
    <row r="97" spans="1:6" x14ac:dyDescent="0.2">
      <c r="A97" s="10" t="s">
        <v>8</v>
      </c>
      <c r="B97" s="11">
        <f t="shared" ref="B97:B107" si="20">C97/$C$109</f>
        <v>7.5282551420778096E-2</v>
      </c>
      <c r="C97" s="12">
        <v>213547390.87</v>
      </c>
      <c r="D97" s="12">
        <f t="shared" ref="D97:D102" si="21">C79</f>
        <v>197006551.31999999</v>
      </c>
      <c r="E97" s="12">
        <f t="shared" si="18"/>
        <v>16540839.550000012</v>
      </c>
      <c r="F97" s="13">
        <f t="shared" si="19"/>
        <v>8.3960860383432312E-2</v>
      </c>
    </row>
    <row r="98" spans="1:6" x14ac:dyDescent="0.2">
      <c r="A98" s="10" t="s">
        <v>9</v>
      </c>
      <c r="B98" s="11">
        <f t="shared" si="20"/>
        <v>8.974905897724611E-2</v>
      </c>
      <c r="C98" s="12">
        <v>254583260.21000001</v>
      </c>
      <c r="D98" s="12">
        <f t="shared" si="21"/>
        <v>227253604.88</v>
      </c>
      <c r="E98" s="12">
        <f t="shared" si="18"/>
        <v>27329655.330000013</v>
      </c>
      <c r="F98" s="13">
        <f t="shared" si="19"/>
        <v>0.1202606020020289</v>
      </c>
    </row>
    <row r="99" spans="1:6" x14ac:dyDescent="0.2">
      <c r="A99" s="10" t="s">
        <v>10</v>
      </c>
      <c r="B99" s="11">
        <f t="shared" si="20"/>
        <v>8.1165480758451189E-2</v>
      </c>
      <c r="C99" s="12">
        <v>230234978.99000001</v>
      </c>
      <c r="D99" s="12">
        <f t="shared" si="21"/>
        <v>202745423.97</v>
      </c>
      <c r="E99" s="12">
        <f t="shared" si="18"/>
        <v>27489555.020000011</v>
      </c>
      <c r="F99" s="13">
        <f t="shared" si="19"/>
        <v>0.13558656211184134</v>
      </c>
    </row>
    <row r="100" spans="1:6" x14ac:dyDescent="0.2">
      <c r="A100" s="10" t="s">
        <v>11</v>
      </c>
      <c r="B100" s="11">
        <f t="shared" si="20"/>
        <v>6.7855336024056981E-2</v>
      </c>
      <c r="C100" s="12">
        <v>192479262.34</v>
      </c>
      <c r="D100" s="12">
        <f t="shared" si="21"/>
        <v>199268715.19999999</v>
      </c>
      <c r="E100" s="12">
        <f t="shared" si="18"/>
        <v>-6789452.8599999845</v>
      </c>
      <c r="F100" s="13">
        <f t="shared" si="19"/>
        <v>-3.4071845413293382E-2</v>
      </c>
    </row>
    <row r="101" spans="1:6" x14ac:dyDescent="0.2">
      <c r="A101" s="10" t="s">
        <v>12</v>
      </c>
      <c r="B101" s="11">
        <f t="shared" si="20"/>
        <v>0.10249591765625329</v>
      </c>
      <c r="C101" s="12">
        <v>290741152.86000001</v>
      </c>
      <c r="D101" s="12">
        <f t="shared" si="21"/>
        <v>283107982.87</v>
      </c>
      <c r="E101" s="12">
        <f t="shared" si="18"/>
        <v>7633169.9900000095</v>
      </c>
      <c r="F101" s="13">
        <f t="shared" si="19"/>
        <v>2.6962044350070748E-2</v>
      </c>
    </row>
    <row r="102" spans="1:6" x14ac:dyDescent="0.2">
      <c r="A102" s="10" t="s">
        <v>13</v>
      </c>
      <c r="B102" s="11">
        <f t="shared" si="20"/>
        <v>7.6038685978029777E-2</v>
      </c>
      <c r="C102" s="12">
        <v>215692251.25</v>
      </c>
      <c r="D102" s="12">
        <f t="shared" si="21"/>
        <v>176124978.91</v>
      </c>
      <c r="E102" s="12">
        <f t="shared" si="18"/>
        <v>39567272.340000004</v>
      </c>
      <c r="F102" s="13">
        <f t="shared" si="19"/>
        <v>0.22465451854060356</v>
      </c>
    </row>
    <row r="103" spans="1:6" x14ac:dyDescent="0.2">
      <c r="A103" s="10" t="s">
        <v>14</v>
      </c>
      <c r="B103" s="11">
        <f t="shared" si="20"/>
        <v>6.9864223581978122E-2</v>
      </c>
      <c r="C103" s="12">
        <v>198177696.94999999</v>
      </c>
      <c r="D103" s="12">
        <f>C85</f>
        <v>192607869.75</v>
      </c>
      <c r="E103" s="12">
        <f t="shared" si="18"/>
        <v>5569827.1999999881</v>
      </c>
      <c r="F103" s="13">
        <f t="shared" si="19"/>
        <v>2.8917962735528296E-2</v>
      </c>
    </row>
    <row r="104" spans="1:6" x14ac:dyDescent="0.2">
      <c r="A104" s="10" t="s">
        <v>15</v>
      </c>
      <c r="B104" s="11">
        <f t="shared" si="20"/>
        <v>9.4379424324940897E-2</v>
      </c>
      <c r="C104" s="12">
        <v>267717810.25</v>
      </c>
      <c r="D104" s="12">
        <f>C86</f>
        <v>244594693.81999999</v>
      </c>
      <c r="E104" s="12">
        <f t="shared" si="18"/>
        <v>23123116.430000007</v>
      </c>
      <c r="F104" s="13">
        <f t="shared" si="19"/>
        <v>9.4536459760719796E-2</v>
      </c>
    </row>
    <row r="105" spans="1:6" x14ac:dyDescent="0.2">
      <c r="A105" s="10" t="s">
        <v>16</v>
      </c>
      <c r="B105" s="11">
        <f t="shared" si="20"/>
        <v>7.8156806873793783E-2</v>
      </c>
      <c r="C105" s="12">
        <v>221700538.46000001</v>
      </c>
      <c r="D105" s="12">
        <f>C87</f>
        <v>228317410.33000001</v>
      </c>
      <c r="E105" s="30">
        <f t="shared" si="18"/>
        <v>-6616871.8700000048</v>
      </c>
      <c r="F105" s="13">
        <f t="shared" si="19"/>
        <v>-2.8981021904708304E-2</v>
      </c>
    </row>
    <row r="106" spans="1:6" x14ac:dyDescent="0.2">
      <c r="A106" s="10" t="s">
        <v>17</v>
      </c>
      <c r="B106" s="11">
        <f t="shared" si="20"/>
        <v>9.9571449541588253E-2</v>
      </c>
      <c r="C106" s="12">
        <v>282445571.43000001</v>
      </c>
      <c r="D106" s="12">
        <f>C88</f>
        <v>265305683.66</v>
      </c>
      <c r="E106" s="30">
        <f t="shared" si="18"/>
        <v>17139887.770000011</v>
      </c>
      <c r="F106" s="13">
        <f t="shared" si="19"/>
        <v>6.4604299212697877E-2</v>
      </c>
    </row>
    <row r="107" spans="1:6" x14ac:dyDescent="0.2">
      <c r="A107" s="10" t="s">
        <v>18</v>
      </c>
      <c r="B107" s="11">
        <f t="shared" si="20"/>
        <v>8.0198980432430914E-2</v>
      </c>
      <c r="C107" s="12">
        <v>227493392.53999999</v>
      </c>
      <c r="D107" s="12">
        <f>C89</f>
        <v>200612368.91</v>
      </c>
      <c r="E107" s="30">
        <f>IF(SUM(C107-D107)=0," ",C107-D107)</f>
        <v>26881023.629999995</v>
      </c>
      <c r="F107" s="13">
        <f>IF(ISERR(E107/D107), " ",E107/D107)</f>
        <v>0.1339948467587237</v>
      </c>
    </row>
    <row r="108" spans="1:6" x14ac:dyDescent="0.2">
      <c r="A108" s="16"/>
      <c r="B108" s="17"/>
      <c r="C108" s="18"/>
      <c r="D108" s="18"/>
      <c r="E108" s="12" t="str">
        <f>IF(SUM(C108-D108)=0," ",C108-D108)</f>
        <v xml:space="preserve"> </v>
      </c>
      <c r="F108" s="19" t="str">
        <f>IF(ISERR(E108/D108), " ",E108/D108)</f>
        <v xml:space="preserve"> </v>
      </c>
    </row>
    <row r="109" spans="1:6" ht="13.5" thickBot="1" x14ac:dyDescent="0.25">
      <c r="A109" s="20" t="s">
        <v>19</v>
      </c>
      <c r="B109" s="21">
        <f>SUM(B96:B108)</f>
        <v>1</v>
      </c>
      <c r="C109" s="22">
        <f>SUM(C96:C108)</f>
        <v>2836612028.1499996</v>
      </c>
      <c r="D109" s="22">
        <f>SUM(D96:D108)</f>
        <v>2621293998.9799995</v>
      </c>
      <c r="E109" s="22">
        <f>SUM(E96:E108)</f>
        <v>215318029.17000005</v>
      </c>
      <c r="F109" s="23">
        <f>E109/D109</f>
        <v>8.2141884601187348E-2</v>
      </c>
    </row>
    <row r="110" spans="1:6" ht="13.5" thickBot="1" x14ac:dyDescent="0.25"/>
    <row r="111" spans="1:6" x14ac:dyDescent="0.2">
      <c r="A111" s="97" t="s">
        <v>31</v>
      </c>
      <c r="B111" s="98"/>
      <c r="C111" s="98"/>
      <c r="D111" s="98"/>
      <c r="E111" s="98"/>
      <c r="F111" s="99"/>
    </row>
    <row r="112" spans="1:6" x14ac:dyDescent="0.2">
      <c r="A112" s="3" t="s">
        <v>2</v>
      </c>
      <c r="B112" s="4"/>
      <c r="C112" s="5" t="s">
        <v>32</v>
      </c>
      <c r="D112" s="5" t="s">
        <v>30</v>
      </c>
      <c r="E112" s="5" t="s">
        <v>5</v>
      </c>
      <c r="F112" s="6" t="s">
        <v>6</v>
      </c>
    </row>
    <row r="113" spans="1:6" x14ac:dyDescent="0.2">
      <c r="A113" s="7"/>
      <c r="B113" s="8"/>
      <c r="F113" s="9"/>
    </row>
    <row r="114" spans="1:6" s="25" customFormat="1" ht="15" x14ac:dyDescent="0.2">
      <c r="A114" s="10" t="s">
        <v>7</v>
      </c>
      <c r="B114" s="11">
        <f>C114/$C$127</f>
        <v>7.8892418319887594E-2</v>
      </c>
      <c r="C114" s="12">
        <v>224998709.37</v>
      </c>
      <c r="D114" s="12">
        <f t="shared" ref="D114:D125" si="22">C96</f>
        <v>241798722</v>
      </c>
      <c r="E114" s="12">
        <f t="shared" ref="E114:E124" si="23">IF(SUM(C114-D114)=0," ",C114-D114)</f>
        <v>-16800012.629999995</v>
      </c>
      <c r="F114" s="13">
        <f t="shared" ref="F114:F124" si="24">IF(ISERR(E114/D114), " ",E114/D114)</f>
        <v>-6.9479327645081579E-2</v>
      </c>
    </row>
    <row r="115" spans="1:6" x14ac:dyDescent="0.2">
      <c r="A115" s="10" t="s">
        <v>8</v>
      </c>
      <c r="B115" s="11">
        <f t="shared" ref="B115:B125" si="25">C115/$C$127</f>
        <v>7.6512382984965904E-2</v>
      </c>
      <c r="C115" s="12">
        <v>218210923.03999999</v>
      </c>
      <c r="D115" s="12">
        <f t="shared" si="22"/>
        <v>213547390.87</v>
      </c>
      <c r="E115" s="12">
        <f t="shared" si="23"/>
        <v>4663532.1699999869</v>
      </c>
      <c r="F115" s="13">
        <f t="shared" si="24"/>
        <v>2.1838394517491332E-2</v>
      </c>
    </row>
    <row r="116" spans="1:6" x14ac:dyDescent="0.2">
      <c r="A116" s="10" t="s">
        <v>9</v>
      </c>
      <c r="B116" s="11">
        <f t="shared" si="25"/>
        <v>9.6233829905628565E-2</v>
      </c>
      <c r="C116" s="12">
        <v>274455872.79000002</v>
      </c>
      <c r="D116" s="12">
        <f t="shared" si="22"/>
        <v>254583260.21000001</v>
      </c>
      <c r="E116" s="12">
        <f t="shared" si="23"/>
        <v>19872612.580000013</v>
      </c>
      <c r="F116" s="13">
        <f t="shared" si="24"/>
        <v>7.8059384437168186E-2</v>
      </c>
    </row>
    <row r="117" spans="1:6" x14ac:dyDescent="0.2">
      <c r="A117" s="10" t="s">
        <v>10</v>
      </c>
      <c r="B117" s="11">
        <f t="shared" si="25"/>
        <v>8.183491479900247E-2</v>
      </c>
      <c r="C117" s="12">
        <v>233390617.28999999</v>
      </c>
      <c r="D117" s="12">
        <f t="shared" si="22"/>
        <v>230234978.99000001</v>
      </c>
      <c r="E117" s="12">
        <f t="shared" si="23"/>
        <v>3155638.2999999821</v>
      </c>
      <c r="F117" s="13">
        <f t="shared" si="24"/>
        <v>1.370616365003792E-2</v>
      </c>
    </row>
    <row r="118" spans="1:6" x14ac:dyDescent="0.2">
      <c r="A118" s="10" t="s">
        <v>11</v>
      </c>
      <c r="B118" s="11">
        <f t="shared" si="25"/>
        <v>7.032351817722117E-2</v>
      </c>
      <c r="C118" s="12">
        <v>200560474.19</v>
      </c>
      <c r="D118" s="12">
        <f t="shared" si="22"/>
        <v>192479262.34</v>
      </c>
      <c r="E118" s="12">
        <f t="shared" si="23"/>
        <v>8081211.849999994</v>
      </c>
      <c r="F118" s="13">
        <f t="shared" si="24"/>
        <v>4.1984844246364304E-2</v>
      </c>
    </row>
    <row r="119" spans="1:6" x14ac:dyDescent="0.2">
      <c r="A119" s="10" t="s">
        <v>12</v>
      </c>
      <c r="B119" s="11">
        <f t="shared" si="25"/>
        <v>0.10871612563287347</v>
      </c>
      <c r="C119" s="12">
        <v>310054989.76999998</v>
      </c>
      <c r="D119" s="12">
        <f t="shared" si="22"/>
        <v>290741152.86000001</v>
      </c>
      <c r="E119" s="12">
        <f t="shared" si="23"/>
        <v>19313836.909999967</v>
      </c>
      <c r="F119" s="13">
        <f t="shared" si="24"/>
        <v>6.6429663362104499E-2</v>
      </c>
    </row>
    <row r="120" spans="1:6" x14ac:dyDescent="0.2">
      <c r="A120" s="10" t="s">
        <v>13</v>
      </c>
      <c r="B120" s="11">
        <f t="shared" si="25"/>
        <v>7.4089667953347343E-2</v>
      </c>
      <c r="C120" s="12">
        <v>211301415.55000001</v>
      </c>
      <c r="D120" s="12">
        <f t="shared" si="22"/>
        <v>215692251.25</v>
      </c>
      <c r="E120" s="12">
        <f t="shared" si="23"/>
        <v>-4390835.6999999881</v>
      </c>
      <c r="F120" s="13">
        <f t="shared" si="24"/>
        <v>-2.035694687478945E-2</v>
      </c>
    </row>
    <row r="121" spans="1:6" x14ac:dyDescent="0.2">
      <c r="A121" s="10" t="s">
        <v>14</v>
      </c>
      <c r="B121" s="11">
        <f t="shared" si="25"/>
        <v>6.6214253102247267E-2</v>
      </c>
      <c r="C121" s="12">
        <v>188840978.72999999</v>
      </c>
      <c r="D121" s="12">
        <f t="shared" si="22"/>
        <v>198177696.94999999</v>
      </c>
      <c r="E121" s="12">
        <f t="shared" si="23"/>
        <v>-9336718.2199999988</v>
      </c>
      <c r="F121" s="13">
        <f t="shared" si="24"/>
        <v>-4.7112860648267814E-2</v>
      </c>
    </row>
    <row r="122" spans="1:6" x14ac:dyDescent="0.2">
      <c r="A122" s="10" t="s">
        <v>15</v>
      </c>
      <c r="B122" s="11">
        <f t="shared" si="25"/>
        <v>8.9803757827642078E-2</v>
      </c>
      <c r="C122" s="12">
        <v>256117508.34999999</v>
      </c>
      <c r="D122" s="12">
        <f t="shared" si="22"/>
        <v>267717810.25</v>
      </c>
      <c r="E122" s="12">
        <f t="shared" si="23"/>
        <v>-11600301.900000006</v>
      </c>
      <c r="F122" s="13">
        <f t="shared" si="24"/>
        <v>-4.3330333118918846E-2</v>
      </c>
    </row>
    <row r="123" spans="1:6" x14ac:dyDescent="0.2">
      <c r="A123" s="10" t="s">
        <v>16</v>
      </c>
      <c r="B123" s="11">
        <f t="shared" si="25"/>
        <v>7.9154554946598468E-2</v>
      </c>
      <c r="C123" s="12">
        <v>225746314.83000001</v>
      </c>
      <c r="D123" s="12">
        <f t="shared" si="22"/>
        <v>221700538.46000001</v>
      </c>
      <c r="E123" s="30">
        <f t="shared" si="23"/>
        <v>4045776.3700000048</v>
      </c>
      <c r="F123" s="13">
        <f t="shared" si="24"/>
        <v>1.8248834207184202E-2</v>
      </c>
    </row>
    <row r="124" spans="1:6" x14ac:dyDescent="0.2">
      <c r="A124" s="10" t="s">
        <v>17</v>
      </c>
      <c r="B124" s="11">
        <f t="shared" si="25"/>
        <v>9.6503711690916233E-2</v>
      </c>
      <c r="C124" s="12">
        <v>275225567.19999999</v>
      </c>
      <c r="D124" s="12">
        <f t="shared" si="22"/>
        <v>282445571.43000001</v>
      </c>
      <c r="E124" s="30">
        <f t="shared" si="23"/>
        <v>-7220004.2300000191</v>
      </c>
      <c r="F124" s="13">
        <f t="shared" si="24"/>
        <v>-2.5562462153135197E-2</v>
      </c>
    </row>
    <row r="125" spans="1:6" x14ac:dyDescent="0.2">
      <c r="A125" s="10" t="s">
        <v>18</v>
      </c>
      <c r="B125" s="11">
        <f t="shared" si="25"/>
        <v>8.1720864659669476E-2</v>
      </c>
      <c r="C125" s="12">
        <v>233065349.86000001</v>
      </c>
      <c r="D125" s="12">
        <f t="shared" si="22"/>
        <v>227493392.53999999</v>
      </c>
      <c r="E125" s="30">
        <f>IF(SUM(C125-D125)=0," ",C125-D125)</f>
        <v>5571957.3200000226</v>
      </c>
      <c r="F125" s="13">
        <f>IF(ISERR(E125/D125), " ",E125/D125)</f>
        <v>2.449283145232585E-2</v>
      </c>
    </row>
    <row r="126" spans="1:6" x14ac:dyDescent="0.2">
      <c r="A126" s="16"/>
      <c r="B126" s="17"/>
      <c r="C126" s="18"/>
      <c r="D126" s="18"/>
      <c r="E126" s="12" t="str">
        <f>IF(SUM(C126-D126)=0," ",C126-D126)</f>
        <v xml:space="preserve"> </v>
      </c>
      <c r="F126" s="19" t="str">
        <f>IF(ISERR(E126/D126), " ",E126/D126)</f>
        <v xml:space="preserve"> </v>
      </c>
    </row>
    <row r="127" spans="1:6" ht="13.5" thickBot="1" x14ac:dyDescent="0.25">
      <c r="A127" s="20" t="s">
        <v>19</v>
      </c>
      <c r="B127" s="21">
        <f>SUM(B114:B126)</f>
        <v>1</v>
      </c>
      <c r="C127" s="22">
        <f>SUM(C114:C126)</f>
        <v>2851968720.9699998</v>
      </c>
      <c r="D127" s="22">
        <f>SUM(D114:D126)</f>
        <v>2836612028.1499996</v>
      </c>
      <c r="E127" s="22">
        <f>SUM(E114:E126)</f>
        <v>15356692.819999963</v>
      </c>
      <c r="F127" s="23">
        <f>E127/D127</f>
        <v>5.4137445190258864E-3</v>
      </c>
    </row>
    <row r="129" spans="1:6" ht="13.5" thickBot="1" x14ac:dyDescent="0.25"/>
    <row r="130" spans="1:6" x14ac:dyDescent="0.2">
      <c r="A130" s="97" t="s">
        <v>33</v>
      </c>
      <c r="B130" s="98"/>
      <c r="C130" s="98"/>
      <c r="D130" s="98"/>
      <c r="E130" s="98"/>
      <c r="F130" s="99"/>
    </row>
    <row r="131" spans="1:6" x14ac:dyDescent="0.2">
      <c r="A131" s="3" t="s">
        <v>2</v>
      </c>
      <c r="B131" s="4"/>
      <c r="C131" s="5" t="s">
        <v>34</v>
      </c>
      <c r="D131" s="5" t="s">
        <v>32</v>
      </c>
      <c r="E131" s="5" t="s">
        <v>5</v>
      </c>
      <c r="F131" s="6" t="s">
        <v>6</v>
      </c>
    </row>
    <row r="132" spans="1:6" x14ac:dyDescent="0.2">
      <c r="A132" s="7"/>
      <c r="B132" s="8"/>
      <c r="F132" s="9"/>
    </row>
    <row r="133" spans="1:6" s="25" customFormat="1" ht="15" x14ac:dyDescent="0.2">
      <c r="A133" s="10" t="s">
        <v>7</v>
      </c>
      <c r="B133" s="11">
        <f>C133/$C$146</f>
        <v>7.8903963178890604E-2</v>
      </c>
      <c r="C133" s="12">
        <v>221217164.03999999</v>
      </c>
      <c r="D133" s="12">
        <f t="shared" ref="D133:D144" si="26">C114</f>
        <v>224998709.37</v>
      </c>
      <c r="E133" s="12">
        <f t="shared" ref="E133:E143" si="27">IF(SUM(C133-D133)=0," ",C133-D133)</f>
        <v>-3781545.3300000131</v>
      </c>
      <c r="F133" s="13">
        <f t="shared" ref="F133:F143" si="28">IF(ISERR(E133/D133), " ",E133/D133)</f>
        <v>-1.6806964540322922E-2</v>
      </c>
    </row>
    <row r="134" spans="1:6" x14ac:dyDescent="0.2">
      <c r="A134" s="10" t="s">
        <v>8</v>
      </c>
      <c r="B134" s="11">
        <f t="shared" ref="B134:B144" si="29">C134/$C$146</f>
        <v>8.0531067238644005E-2</v>
      </c>
      <c r="C134" s="12">
        <v>225778954.49000001</v>
      </c>
      <c r="D134" s="12">
        <f t="shared" si="26"/>
        <v>218210923.03999999</v>
      </c>
      <c r="E134" s="12">
        <f t="shared" si="27"/>
        <v>7568031.4500000179</v>
      </c>
      <c r="F134" s="13">
        <f t="shared" si="28"/>
        <v>3.4682184303911914E-2</v>
      </c>
    </row>
    <row r="135" spans="1:6" x14ac:dyDescent="0.2">
      <c r="A135" s="10" t="s">
        <v>9</v>
      </c>
      <c r="B135" s="11">
        <f t="shared" si="29"/>
        <v>9.3385408029279138E-2</v>
      </c>
      <c r="C135" s="12">
        <v>261817712.25</v>
      </c>
      <c r="D135" s="12">
        <f t="shared" si="26"/>
        <v>274455872.79000002</v>
      </c>
      <c r="E135" s="12">
        <f t="shared" si="27"/>
        <v>-12638160.540000021</v>
      </c>
      <c r="F135" s="13">
        <f t="shared" si="28"/>
        <v>-4.604806015453753E-2</v>
      </c>
    </row>
    <row r="136" spans="1:6" x14ac:dyDescent="0.2">
      <c r="A136" s="10" t="s">
        <v>10</v>
      </c>
      <c r="B136" s="11">
        <f t="shared" si="29"/>
        <v>7.7390921453359018E-2</v>
      </c>
      <c r="C136" s="12">
        <v>216975161.66</v>
      </c>
      <c r="D136" s="12">
        <f t="shared" si="26"/>
        <v>233390617.28999999</v>
      </c>
      <c r="E136" s="12">
        <f t="shared" si="27"/>
        <v>-16415455.629999995</v>
      </c>
      <c r="F136" s="13">
        <f t="shared" si="28"/>
        <v>-7.0334685346853248E-2</v>
      </c>
    </row>
    <row r="137" spans="1:6" x14ac:dyDescent="0.2">
      <c r="A137" s="10" t="s">
        <v>11</v>
      </c>
      <c r="B137" s="11">
        <f t="shared" si="29"/>
        <v>7.6653215849551426E-2</v>
      </c>
      <c r="C137" s="12">
        <v>214906911.41</v>
      </c>
      <c r="D137" s="12">
        <f t="shared" si="26"/>
        <v>200560474.19</v>
      </c>
      <c r="E137" s="12">
        <f t="shared" si="27"/>
        <v>14346437.219999999</v>
      </c>
      <c r="F137" s="13">
        <f t="shared" si="28"/>
        <v>7.1531727664389991E-2</v>
      </c>
    </row>
    <row r="138" spans="1:6" x14ac:dyDescent="0.2">
      <c r="A138" s="10" t="s">
        <v>12</v>
      </c>
      <c r="B138" s="11">
        <f t="shared" si="29"/>
        <v>0.10829679002552707</v>
      </c>
      <c r="C138" s="12">
        <v>303623643.20999998</v>
      </c>
      <c r="D138" s="12">
        <f t="shared" si="26"/>
        <v>310054989.76999998</v>
      </c>
      <c r="E138" s="12">
        <f t="shared" si="27"/>
        <v>-6431346.5600000024</v>
      </c>
      <c r="F138" s="13">
        <f t="shared" si="28"/>
        <v>-2.074259977164309E-2</v>
      </c>
    </row>
    <row r="139" spans="1:6" x14ac:dyDescent="0.2">
      <c r="A139" s="10" t="s">
        <v>13</v>
      </c>
      <c r="B139" s="11">
        <f t="shared" si="29"/>
        <v>6.9307820812443979E-2</v>
      </c>
      <c r="C139" s="12">
        <v>194313174.5</v>
      </c>
      <c r="D139" s="12">
        <f t="shared" si="26"/>
        <v>211301415.55000001</v>
      </c>
      <c r="E139" s="12">
        <f t="shared" si="27"/>
        <v>-16988241.050000012</v>
      </c>
      <c r="F139" s="13">
        <f t="shared" si="28"/>
        <v>-8.0398141232423989E-2</v>
      </c>
    </row>
    <row r="140" spans="1:6" x14ac:dyDescent="0.2">
      <c r="A140" s="10" t="s">
        <v>14</v>
      </c>
      <c r="B140" s="11">
        <f t="shared" si="29"/>
        <v>6.9275521288251429E-2</v>
      </c>
      <c r="C140" s="12">
        <v>194222618.72999999</v>
      </c>
      <c r="D140" s="12">
        <f t="shared" si="26"/>
        <v>188840978.72999999</v>
      </c>
      <c r="E140" s="12">
        <f t="shared" si="27"/>
        <v>5381640</v>
      </c>
      <c r="F140" s="13">
        <f t="shared" si="28"/>
        <v>2.8498263651209579E-2</v>
      </c>
    </row>
    <row r="141" spans="1:6" x14ac:dyDescent="0.2">
      <c r="A141" s="10" t="s">
        <v>15</v>
      </c>
      <c r="B141" s="11">
        <f t="shared" si="29"/>
        <v>9.4528308883231937E-2</v>
      </c>
      <c r="C141" s="12">
        <v>265021978.24000001</v>
      </c>
      <c r="D141" s="12">
        <f t="shared" si="26"/>
        <v>256117508.34999999</v>
      </c>
      <c r="E141" s="12">
        <f t="shared" si="27"/>
        <v>8904469.8900000155</v>
      </c>
      <c r="F141" s="13">
        <f t="shared" si="28"/>
        <v>3.4767126805839141E-2</v>
      </c>
    </row>
    <row r="142" spans="1:6" x14ac:dyDescent="0.2">
      <c r="A142" s="10" t="s">
        <v>16</v>
      </c>
      <c r="B142" s="11">
        <f t="shared" si="29"/>
        <v>7.6756542074443226E-2</v>
      </c>
      <c r="C142" s="12">
        <v>215196599.44999999</v>
      </c>
      <c r="D142" s="12">
        <f t="shared" si="26"/>
        <v>225746314.83000001</v>
      </c>
      <c r="E142" s="30">
        <f t="shared" si="27"/>
        <v>-10549715.380000025</v>
      </c>
      <c r="F142" s="13">
        <f t="shared" si="28"/>
        <v>-4.6732613942976516E-2</v>
      </c>
    </row>
    <row r="143" spans="1:6" x14ac:dyDescent="0.2">
      <c r="A143" s="10" t="s">
        <v>17</v>
      </c>
      <c r="B143" s="11">
        <f t="shared" si="29"/>
        <v>9.4512861766689674E-2</v>
      </c>
      <c r="C143" s="12">
        <v>264978670.31</v>
      </c>
      <c r="D143" s="12">
        <f t="shared" si="26"/>
        <v>275225567.19999999</v>
      </c>
      <c r="E143" s="30">
        <f t="shared" si="27"/>
        <v>-10246896.889999986</v>
      </c>
      <c r="F143" s="13">
        <f t="shared" si="28"/>
        <v>-3.7230904796551133E-2</v>
      </c>
    </row>
    <row r="144" spans="1:6" x14ac:dyDescent="0.2">
      <c r="A144" s="10" t="s">
        <v>18</v>
      </c>
      <c r="B144" s="11">
        <f t="shared" si="29"/>
        <v>8.0457579399688436E-2</v>
      </c>
      <c r="C144" s="31">
        <v>225572922.11000001</v>
      </c>
      <c r="D144" s="12">
        <f t="shared" si="26"/>
        <v>233065349.86000001</v>
      </c>
      <c r="E144" s="30">
        <f>IF(SUM(C144-D144)=0," ",C144-D144)</f>
        <v>-7492427.75</v>
      </c>
      <c r="F144" s="13">
        <f>IF(ISERR(E144/D144), " ",E144/D144)</f>
        <v>-3.2147325865902528E-2</v>
      </c>
    </row>
    <row r="145" spans="1:6" x14ac:dyDescent="0.2">
      <c r="A145" s="16"/>
      <c r="B145" s="17"/>
      <c r="C145" s="18"/>
      <c r="D145" s="18"/>
      <c r="E145" s="12" t="str">
        <f>IF(SUM(C145-D145)=0," ",C145-D145)</f>
        <v xml:space="preserve"> </v>
      </c>
      <c r="F145" s="19" t="str">
        <f>IF(ISERR(E145/D145), " ",E145/D145)</f>
        <v xml:space="preserve"> </v>
      </c>
    </row>
    <row r="146" spans="1:6" ht="13.5" thickBot="1" x14ac:dyDescent="0.25">
      <c r="A146" s="20" t="s">
        <v>19</v>
      </c>
      <c r="B146" s="21">
        <f>SUM(B133:B145)</f>
        <v>1</v>
      </c>
      <c r="C146" s="22">
        <f>SUM(C133:C145)</f>
        <v>2803625510.4000001</v>
      </c>
      <c r="D146" s="22">
        <f>SUM(D133:D145)</f>
        <v>2851968720.9699998</v>
      </c>
      <c r="E146" s="22">
        <f>SUM(E133:E145)</f>
        <v>-48343210.570000023</v>
      </c>
      <c r="F146" s="23">
        <f>E146/D146</f>
        <v>-1.6950820748678382E-2</v>
      </c>
    </row>
    <row r="148" spans="1:6" ht="13.5" thickBot="1" x14ac:dyDescent="0.25"/>
    <row r="149" spans="1:6" x14ac:dyDescent="0.2">
      <c r="A149" s="97" t="s">
        <v>35</v>
      </c>
      <c r="B149" s="98"/>
      <c r="C149" s="98"/>
      <c r="D149" s="98"/>
      <c r="E149" s="98"/>
      <c r="F149" s="99"/>
    </row>
    <row r="150" spans="1:6" x14ac:dyDescent="0.2">
      <c r="A150" s="3" t="s">
        <v>2</v>
      </c>
      <c r="B150" s="4"/>
      <c r="C150" s="5" t="s">
        <v>36</v>
      </c>
      <c r="D150" s="5" t="s">
        <v>34</v>
      </c>
      <c r="E150" s="5" t="s">
        <v>5</v>
      </c>
      <c r="F150" s="6" t="s">
        <v>6</v>
      </c>
    </row>
    <row r="151" spans="1:6" x14ac:dyDescent="0.2">
      <c r="A151" s="7"/>
      <c r="B151" s="8"/>
      <c r="F151" s="9"/>
    </row>
    <row r="152" spans="1:6" s="25" customFormat="1" ht="15" x14ac:dyDescent="0.2">
      <c r="A152" s="10" t="s">
        <v>7</v>
      </c>
      <c r="B152" s="11">
        <f>C152/$C$165</f>
        <v>8.9681978234275928E-2</v>
      </c>
      <c r="C152" s="12">
        <v>219082349.58000001</v>
      </c>
      <c r="D152" s="12">
        <f t="shared" ref="D152:D163" si="30">C133</f>
        <v>221217164.03999999</v>
      </c>
      <c r="E152" s="12">
        <f t="shared" ref="E152:E162" si="31">IF(SUM(C152-D152)=0," ",C152-D152)</f>
        <v>-2134814.4599999785</v>
      </c>
      <c r="F152" s="13">
        <f t="shared" ref="F152:F162" si="32">IF(ISERR(E152/D152), " ",E152/D152)</f>
        <v>-9.6503111287240175E-3</v>
      </c>
    </row>
    <row r="153" spans="1:6" x14ac:dyDescent="0.2">
      <c r="A153" s="10" t="s">
        <v>8</v>
      </c>
      <c r="B153" s="11">
        <f t="shared" ref="B153:B163" si="33">C153/$C$165</f>
        <v>8.6893656274066172E-2</v>
      </c>
      <c r="C153" s="12">
        <v>212270812.43000001</v>
      </c>
      <c r="D153" s="12">
        <f t="shared" si="30"/>
        <v>225778954.49000001</v>
      </c>
      <c r="E153" s="12">
        <f t="shared" si="31"/>
        <v>-13508142.060000002</v>
      </c>
      <c r="F153" s="13">
        <f t="shared" si="32"/>
        <v>-5.9829057542200165E-2</v>
      </c>
    </row>
    <row r="154" spans="1:6" x14ac:dyDescent="0.2">
      <c r="A154" s="10" t="s">
        <v>9</v>
      </c>
      <c r="B154" s="11">
        <f t="shared" si="33"/>
        <v>0.10307479649671057</v>
      </c>
      <c r="C154" s="12">
        <v>251799403.22</v>
      </c>
      <c r="D154" s="12">
        <f t="shared" si="30"/>
        <v>261817712.25</v>
      </c>
      <c r="E154" s="12">
        <f t="shared" si="31"/>
        <v>-10018309.030000001</v>
      </c>
      <c r="F154" s="13">
        <f t="shared" si="32"/>
        <v>-3.8264443394241753E-2</v>
      </c>
    </row>
    <row r="155" spans="1:6" x14ac:dyDescent="0.2">
      <c r="A155" s="10" t="s">
        <v>10</v>
      </c>
      <c r="B155" s="11">
        <f t="shared" si="33"/>
        <v>8.2241689301389614E-2</v>
      </c>
      <c r="C155" s="12">
        <v>200906613.34999999</v>
      </c>
      <c r="D155" s="12">
        <f t="shared" si="30"/>
        <v>216975161.66</v>
      </c>
      <c r="E155" s="12">
        <f t="shared" si="31"/>
        <v>-16068548.310000002</v>
      </c>
      <c r="F155" s="13">
        <f t="shared" si="32"/>
        <v>-7.4057086475084244E-2</v>
      </c>
    </row>
    <row r="156" spans="1:6" x14ac:dyDescent="0.2">
      <c r="A156" s="10" t="s">
        <v>11</v>
      </c>
      <c r="B156" s="11">
        <f t="shared" si="33"/>
        <v>7.380507393361059E-2</v>
      </c>
      <c r="C156" s="12">
        <v>180296970.77000001</v>
      </c>
      <c r="D156" s="12">
        <f t="shared" si="30"/>
        <v>214906911.41</v>
      </c>
      <c r="E156" s="12">
        <f t="shared" si="31"/>
        <v>-34609940.639999986</v>
      </c>
      <c r="F156" s="13">
        <f t="shared" si="32"/>
        <v>-0.16104619629459493</v>
      </c>
    </row>
    <row r="157" spans="1:6" x14ac:dyDescent="0.2">
      <c r="A157" s="10" t="s">
        <v>12</v>
      </c>
      <c r="B157" s="11">
        <f t="shared" si="33"/>
        <v>0.10619409472574137</v>
      </c>
      <c r="C157" s="12">
        <v>259419475.81999999</v>
      </c>
      <c r="D157" s="12">
        <f t="shared" si="30"/>
        <v>303623643.20999998</v>
      </c>
      <c r="E157" s="12">
        <f t="shared" si="31"/>
        <v>-44204167.389999986</v>
      </c>
      <c r="F157" s="13">
        <f t="shared" si="32"/>
        <v>-0.14558868644964637</v>
      </c>
    </row>
    <row r="158" spans="1:6" x14ac:dyDescent="0.2">
      <c r="A158" s="10" t="s">
        <v>13</v>
      </c>
      <c r="B158" s="11">
        <f t="shared" si="33"/>
        <v>7.2376818163614826E-2</v>
      </c>
      <c r="C158" s="12">
        <v>176807912.69999999</v>
      </c>
      <c r="D158" s="12">
        <f t="shared" si="30"/>
        <v>194313174.5</v>
      </c>
      <c r="E158" s="12">
        <f t="shared" si="31"/>
        <v>-17505261.800000012</v>
      </c>
      <c r="F158" s="13">
        <f t="shared" si="32"/>
        <v>-9.0087879244646951E-2</v>
      </c>
    </row>
    <row r="159" spans="1:6" x14ac:dyDescent="0.2">
      <c r="A159" s="10" t="s">
        <v>14</v>
      </c>
      <c r="B159" s="11">
        <f t="shared" si="33"/>
        <v>6.3519539697777572E-2</v>
      </c>
      <c r="C159" s="12">
        <v>155170640.47</v>
      </c>
      <c r="D159" s="12">
        <f t="shared" si="30"/>
        <v>194222618.72999999</v>
      </c>
      <c r="E159" s="12">
        <f t="shared" si="31"/>
        <v>-39051978.25999999</v>
      </c>
      <c r="F159" s="13">
        <f t="shared" si="32"/>
        <v>-0.20106812746814204</v>
      </c>
    </row>
    <row r="160" spans="1:6" x14ac:dyDescent="0.2">
      <c r="A160" s="10" t="s">
        <v>15</v>
      </c>
      <c r="B160" s="11">
        <f t="shared" si="33"/>
        <v>9.1272084566048794E-2</v>
      </c>
      <c r="C160" s="12">
        <v>222966789.22</v>
      </c>
      <c r="D160" s="12">
        <f t="shared" si="30"/>
        <v>265021978.24000001</v>
      </c>
      <c r="E160" s="12">
        <f t="shared" si="31"/>
        <v>-42055189.020000011</v>
      </c>
      <c r="F160" s="13">
        <f t="shared" si="32"/>
        <v>-0.15868566561643974</v>
      </c>
    </row>
    <row r="161" spans="1:6" x14ac:dyDescent="0.2">
      <c r="A161" s="10" t="s">
        <v>16</v>
      </c>
      <c r="B161" s="11">
        <f t="shared" si="33"/>
        <v>7.006280566842174E-2</v>
      </c>
      <c r="C161" s="12">
        <v>171155056.86000001</v>
      </c>
      <c r="D161" s="12">
        <f t="shared" si="30"/>
        <v>215196599.44999999</v>
      </c>
      <c r="E161" s="30">
        <f t="shared" si="31"/>
        <v>-44041542.589999974</v>
      </c>
      <c r="F161" s="13">
        <f t="shared" si="32"/>
        <v>-0.20465724227316537</v>
      </c>
    </row>
    <row r="162" spans="1:6" x14ac:dyDescent="0.2">
      <c r="A162" s="10" t="s">
        <v>17</v>
      </c>
      <c r="B162" s="11">
        <f t="shared" si="33"/>
        <v>8.8732916777466989E-2</v>
      </c>
      <c r="C162" s="12">
        <v>216763905.91999999</v>
      </c>
      <c r="D162" s="12">
        <f t="shared" si="30"/>
        <v>264978670.31</v>
      </c>
      <c r="E162" s="30">
        <f t="shared" si="31"/>
        <v>-48214764.390000015</v>
      </c>
      <c r="F162" s="13">
        <f t="shared" si="32"/>
        <v>-0.18195715275343974</v>
      </c>
    </row>
    <row r="163" spans="1:6" x14ac:dyDescent="0.2">
      <c r="A163" s="10" t="s">
        <v>18</v>
      </c>
      <c r="B163" s="11">
        <f t="shared" si="33"/>
        <v>7.214454616087583E-2</v>
      </c>
      <c r="C163" s="31">
        <f>176240499.97</f>
        <v>176240499.97</v>
      </c>
      <c r="D163" s="12">
        <f t="shared" si="30"/>
        <v>225572922.11000001</v>
      </c>
      <c r="E163" s="30">
        <f>IF(SUM(C163-D163)=0," ",C163-D163)</f>
        <v>-49332422.140000015</v>
      </c>
      <c r="F163" s="13">
        <f>IF(ISERR(E163/D163), " ",E163/D163)</f>
        <v>-0.21869833346372664</v>
      </c>
    </row>
    <row r="164" spans="1:6" x14ac:dyDescent="0.2">
      <c r="A164" s="16"/>
      <c r="B164" s="17"/>
      <c r="C164" s="18"/>
      <c r="D164" s="18"/>
      <c r="E164" s="12" t="str">
        <f>IF(SUM(C164-D164)=0," ",C164-D164)</f>
        <v xml:space="preserve"> </v>
      </c>
      <c r="F164" s="19" t="str">
        <f>IF(ISERR(E164/D164), " ",E164/D164)</f>
        <v xml:space="preserve"> </v>
      </c>
    </row>
    <row r="165" spans="1:6" ht="13.5" thickBot="1" x14ac:dyDescent="0.25">
      <c r="A165" s="20" t="s">
        <v>19</v>
      </c>
      <c r="B165" s="21">
        <f>SUM(B152:B164)</f>
        <v>1</v>
      </c>
      <c r="C165" s="22">
        <f>SUM(C152:C164)</f>
        <v>2442880430.3099999</v>
      </c>
      <c r="D165" s="22">
        <f>SUM(D152:D164)</f>
        <v>2803625510.4000001</v>
      </c>
      <c r="E165" s="22">
        <f>SUM(E152:E164)</f>
        <v>-360745080.08999991</v>
      </c>
      <c r="F165" s="23">
        <f>E165/D165</f>
        <v>-0.12867092225827675</v>
      </c>
    </row>
    <row r="167" spans="1:6" ht="13.5" thickBot="1" x14ac:dyDescent="0.25"/>
    <row r="168" spans="1:6" x14ac:dyDescent="0.2">
      <c r="A168" s="97" t="s">
        <v>37</v>
      </c>
      <c r="B168" s="98"/>
      <c r="C168" s="98"/>
      <c r="D168" s="98"/>
      <c r="E168" s="98"/>
      <c r="F168" s="99"/>
    </row>
    <row r="169" spans="1:6" x14ac:dyDescent="0.2">
      <c r="A169" s="3" t="s">
        <v>2</v>
      </c>
      <c r="B169" s="4"/>
      <c r="C169" s="5" t="s">
        <v>38</v>
      </c>
      <c r="D169" s="5" t="s">
        <v>36</v>
      </c>
      <c r="E169" s="5" t="s">
        <v>5</v>
      </c>
      <c r="F169" s="6" t="s">
        <v>6</v>
      </c>
    </row>
    <row r="170" spans="1:6" x14ac:dyDescent="0.2">
      <c r="A170" s="7"/>
      <c r="B170" s="8"/>
      <c r="F170" s="9"/>
    </row>
    <row r="171" spans="1:6" s="25" customFormat="1" ht="15" x14ac:dyDescent="0.2">
      <c r="A171" s="10" t="s">
        <v>7</v>
      </c>
      <c r="B171" s="11">
        <f>C171/$C$184</f>
        <v>7.6882663173236346E-2</v>
      </c>
      <c r="C171" s="12">
        <v>181054465.83000001</v>
      </c>
      <c r="D171" s="12">
        <f t="shared" ref="D171:D182" si="34">C152</f>
        <v>219082349.58000001</v>
      </c>
      <c r="E171" s="12">
        <f t="shared" ref="E171:E181" si="35">IF(SUM(C171-D171)=0," ",C171-D171)</f>
        <v>-38027883.75</v>
      </c>
      <c r="F171" s="13">
        <f t="shared" ref="F171:F182" si="36">IF(ISERR(E171/D171), " ",E171/D171)</f>
        <v>-0.17357803503067579</v>
      </c>
    </row>
    <row r="172" spans="1:6" x14ac:dyDescent="0.2">
      <c r="A172" s="10" t="s">
        <v>8</v>
      </c>
      <c r="B172" s="11">
        <f t="shared" ref="B172:B182" si="37">C172/$C$184</f>
        <v>7.6173848121671078E-2</v>
      </c>
      <c r="C172" s="12">
        <v>179385245.16</v>
      </c>
      <c r="D172" s="12">
        <f t="shared" si="34"/>
        <v>212270812.43000001</v>
      </c>
      <c r="E172" s="12">
        <f t="shared" si="35"/>
        <v>-32885567.270000011</v>
      </c>
      <c r="F172" s="13">
        <f t="shared" si="36"/>
        <v>-0.15492269942126216</v>
      </c>
    </row>
    <row r="173" spans="1:6" x14ac:dyDescent="0.2">
      <c r="A173" s="10" t="s">
        <v>9</v>
      </c>
      <c r="B173" s="11">
        <f t="shared" si="37"/>
        <v>8.789690057233239E-2</v>
      </c>
      <c r="C173" s="12">
        <v>206992392.36000001</v>
      </c>
      <c r="D173" s="12">
        <f t="shared" si="34"/>
        <v>251799403.22</v>
      </c>
      <c r="E173" s="12">
        <f t="shared" si="35"/>
        <v>-44807010.859999985</v>
      </c>
      <c r="F173" s="13">
        <f t="shared" si="36"/>
        <v>-0.17794724803557851</v>
      </c>
    </row>
    <row r="174" spans="1:6" x14ac:dyDescent="0.2">
      <c r="A174" s="10" t="s">
        <v>10</v>
      </c>
      <c r="B174" s="11">
        <f t="shared" si="37"/>
        <v>7.415905370496477E-2</v>
      </c>
      <c r="C174" s="12">
        <v>174640514.53</v>
      </c>
      <c r="D174" s="12">
        <f t="shared" si="34"/>
        <v>200906613.34999999</v>
      </c>
      <c r="E174" s="12">
        <f t="shared" si="35"/>
        <v>-26266098.819999993</v>
      </c>
      <c r="F174" s="13">
        <f t="shared" si="36"/>
        <v>-0.13073785069604327</v>
      </c>
    </row>
    <row r="175" spans="1:6" x14ac:dyDescent="0.2">
      <c r="A175" s="10" t="s">
        <v>11</v>
      </c>
      <c r="B175" s="11">
        <f t="shared" si="37"/>
        <v>7.9192601087233597E-2</v>
      </c>
      <c r="C175" s="12">
        <v>186494243.25</v>
      </c>
      <c r="D175" s="12">
        <f t="shared" si="34"/>
        <v>180296970.77000001</v>
      </c>
      <c r="E175" s="12">
        <f t="shared" si="35"/>
        <v>6197272.4799999893</v>
      </c>
      <c r="F175" s="13">
        <f t="shared" si="36"/>
        <v>3.4372582376359963E-2</v>
      </c>
    </row>
    <row r="176" spans="1:6" x14ac:dyDescent="0.2">
      <c r="A176" s="10" t="s">
        <v>12</v>
      </c>
      <c r="B176" s="11">
        <f t="shared" si="37"/>
        <v>0.10635295425253308</v>
      </c>
      <c r="C176" s="12">
        <v>250455389.12</v>
      </c>
      <c r="D176" s="12">
        <f t="shared" si="34"/>
        <v>259419475.81999999</v>
      </c>
      <c r="E176" s="12">
        <f t="shared" si="35"/>
        <v>-8964086.6999999881</v>
      </c>
      <c r="F176" s="13">
        <f t="shared" si="36"/>
        <v>-3.4554409115450463E-2</v>
      </c>
    </row>
    <row r="177" spans="1:6" x14ac:dyDescent="0.2">
      <c r="A177" s="10" t="s">
        <v>13</v>
      </c>
      <c r="B177" s="11">
        <f t="shared" si="37"/>
        <v>8.1518033976886103E-2</v>
      </c>
      <c r="C177" s="12">
        <v>191970510.49000001</v>
      </c>
      <c r="D177" s="12">
        <f t="shared" si="34"/>
        <v>176807912.69999999</v>
      </c>
      <c r="E177" s="12">
        <f t="shared" si="35"/>
        <v>15162597.790000021</v>
      </c>
      <c r="F177" s="13">
        <f t="shared" si="36"/>
        <v>8.5757461634238405E-2</v>
      </c>
    </row>
    <row r="178" spans="1:6" x14ac:dyDescent="0.2">
      <c r="A178" s="10" t="s">
        <v>14</v>
      </c>
      <c r="B178" s="11">
        <f t="shared" si="37"/>
        <v>6.8447539384751427E-2</v>
      </c>
      <c r="C178" s="12">
        <v>161190210.75999999</v>
      </c>
      <c r="D178" s="12">
        <f t="shared" si="34"/>
        <v>155170640.47</v>
      </c>
      <c r="E178" s="12">
        <f t="shared" si="35"/>
        <v>6019570.2899999917</v>
      </c>
      <c r="F178" s="13">
        <f t="shared" si="36"/>
        <v>3.8793229645551333E-2</v>
      </c>
    </row>
    <row r="179" spans="1:6" x14ac:dyDescent="0.2">
      <c r="A179" s="10" t="s">
        <v>15</v>
      </c>
      <c r="B179" s="11">
        <f t="shared" si="37"/>
        <v>9.6014570982216649E-2</v>
      </c>
      <c r="C179" s="12">
        <v>226109062.09</v>
      </c>
      <c r="D179" s="12">
        <f t="shared" si="34"/>
        <v>222966789.22</v>
      </c>
      <c r="E179" s="12">
        <f t="shared" si="35"/>
        <v>3142272.8700000048</v>
      </c>
      <c r="F179" s="13">
        <f t="shared" si="36"/>
        <v>1.4093008564156803E-2</v>
      </c>
    </row>
    <row r="180" spans="1:6" x14ac:dyDescent="0.2">
      <c r="A180" s="10" t="s">
        <v>16</v>
      </c>
      <c r="B180" s="11">
        <f t="shared" si="37"/>
        <v>7.7049952706884431E-2</v>
      </c>
      <c r="C180" s="12">
        <v>181448423.53</v>
      </c>
      <c r="D180" s="12">
        <f t="shared" si="34"/>
        <v>171155056.86000001</v>
      </c>
      <c r="E180" s="30">
        <f t="shared" si="35"/>
        <v>10293366.669999987</v>
      </c>
      <c r="F180" s="13">
        <f t="shared" si="36"/>
        <v>6.0140593324214016E-2</v>
      </c>
    </row>
    <row r="181" spans="1:6" x14ac:dyDescent="0.2">
      <c r="A181" s="10" t="s">
        <v>17</v>
      </c>
      <c r="B181" s="11">
        <f t="shared" si="37"/>
        <v>9.7597457684297298E-2</v>
      </c>
      <c r="C181" s="12">
        <v>229836673.68000001</v>
      </c>
      <c r="D181" s="12">
        <f t="shared" si="34"/>
        <v>216763905.91999999</v>
      </c>
      <c r="E181" s="30">
        <f t="shared" si="35"/>
        <v>13072767.76000002</v>
      </c>
      <c r="F181" s="13">
        <f t="shared" si="36"/>
        <v>6.0308784825203895E-2</v>
      </c>
    </row>
    <row r="182" spans="1:6" x14ac:dyDescent="0.2">
      <c r="A182" s="10" t="s">
        <v>18</v>
      </c>
      <c r="B182" s="11">
        <f t="shared" si="37"/>
        <v>7.871442435299307E-2</v>
      </c>
      <c r="C182" s="31">
        <v>185368163.19999999</v>
      </c>
      <c r="D182" s="12">
        <f t="shared" si="34"/>
        <v>176240499.97</v>
      </c>
      <c r="E182" s="30">
        <f>IF(SUM(C182-D182)=0," ",C182-D182)</f>
        <v>9127663.2299999893</v>
      </c>
      <c r="F182" s="13">
        <f t="shared" si="36"/>
        <v>5.1790951748058575E-2</v>
      </c>
    </row>
    <row r="183" spans="1:6" x14ac:dyDescent="0.2">
      <c r="A183" s="16"/>
      <c r="B183" s="17"/>
      <c r="C183" s="18"/>
      <c r="D183" s="18"/>
      <c r="E183" s="12" t="str">
        <f>IF(SUM(C183-D183)=0," ",C183-D183)</f>
        <v xml:space="preserve"> </v>
      </c>
      <c r="F183" s="19" t="str">
        <f>IF(ISERR(E183/D183), " ",E183/D183)</f>
        <v xml:space="preserve"> </v>
      </c>
    </row>
    <row r="184" spans="1:6" ht="13.5" thickBot="1" x14ac:dyDescent="0.25">
      <c r="A184" s="20" t="s">
        <v>19</v>
      </c>
      <c r="B184" s="21">
        <f>SUM(B171:B183)</f>
        <v>1.0000000000000002</v>
      </c>
      <c r="C184" s="22">
        <f>SUM(C171:C183)</f>
        <v>2354945293.9999995</v>
      </c>
      <c r="D184" s="22">
        <f>SUM(D171:D183)</f>
        <v>2442880430.3099999</v>
      </c>
      <c r="E184" s="22">
        <f>SUM(E171:E183)</f>
        <v>-87935136.309999973</v>
      </c>
      <c r="F184" s="23">
        <f>E184/D184</f>
        <v>-3.5996496275030973E-2</v>
      </c>
    </row>
    <row r="186" spans="1:6" ht="13.5" thickBot="1" x14ac:dyDescent="0.25"/>
    <row r="187" spans="1:6" x14ac:dyDescent="0.2">
      <c r="A187" s="97" t="s">
        <v>39</v>
      </c>
      <c r="B187" s="98"/>
      <c r="C187" s="98"/>
      <c r="D187" s="98"/>
      <c r="E187" s="98"/>
      <c r="F187" s="99"/>
    </row>
    <row r="188" spans="1:6" x14ac:dyDescent="0.2">
      <c r="A188" s="3" t="s">
        <v>2</v>
      </c>
      <c r="B188" s="4"/>
      <c r="C188" s="5" t="s">
        <v>40</v>
      </c>
      <c r="D188" s="5" t="s">
        <v>38</v>
      </c>
      <c r="E188" s="5" t="s">
        <v>5</v>
      </c>
      <c r="F188" s="6" t="s">
        <v>6</v>
      </c>
    </row>
    <row r="189" spans="1:6" x14ac:dyDescent="0.2">
      <c r="A189" s="7"/>
      <c r="B189" s="8"/>
      <c r="F189" s="9"/>
    </row>
    <row r="190" spans="1:6" s="25" customFormat="1" ht="15" x14ac:dyDescent="0.2">
      <c r="A190" s="10" t="s">
        <v>7</v>
      </c>
      <c r="B190" s="11">
        <f>C190/$C$203</f>
        <v>7.3341447114235153E-2</v>
      </c>
      <c r="C190" s="12">
        <v>181065512.06</v>
      </c>
      <c r="D190" s="12">
        <f t="shared" ref="D190:D201" si="38">C171</f>
        <v>181054465.83000001</v>
      </c>
      <c r="E190" s="12">
        <f t="shared" ref="E190:E200" si="39">IF(SUM(C190-D190)=0," ",C190-D190)</f>
        <v>11046.229999989271</v>
      </c>
      <c r="F190" s="13">
        <f t="shared" ref="F190:F201" si="40">IF(ISERR(E190/D190), " ",E190/D190)</f>
        <v>6.1010535969662641E-5</v>
      </c>
    </row>
    <row r="191" spans="1:6" x14ac:dyDescent="0.2">
      <c r="A191" s="10" t="s">
        <v>8</v>
      </c>
      <c r="B191" s="11">
        <f t="shared" ref="B191:B201" si="41">C191/$C$203</f>
        <v>7.2328650215269324E-2</v>
      </c>
      <c r="C191" s="12">
        <v>178565117.03999999</v>
      </c>
      <c r="D191" s="12">
        <f t="shared" si="38"/>
        <v>179385245.16</v>
      </c>
      <c r="E191" s="12">
        <f t="shared" si="39"/>
        <v>-820128.12000000477</v>
      </c>
      <c r="F191" s="13">
        <f t="shared" si="40"/>
        <v>-4.57188170224649E-3</v>
      </c>
    </row>
    <row r="192" spans="1:6" x14ac:dyDescent="0.2">
      <c r="A192" s="10" t="s">
        <v>9</v>
      </c>
      <c r="B192" s="11">
        <f t="shared" si="41"/>
        <v>8.7029557716710837E-2</v>
      </c>
      <c r="C192" s="12">
        <v>214858747.03</v>
      </c>
      <c r="D192" s="12">
        <f t="shared" si="38"/>
        <v>206992392.36000001</v>
      </c>
      <c r="E192" s="12">
        <f t="shared" si="39"/>
        <v>7866354.6699999869</v>
      </c>
      <c r="F192" s="13">
        <f t="shared" si="40"/>
        <v>3.8003110067537489E-2</v>
      </c>
    </row>
    <row r="193" spans="1:6" x14ac:dyDescent="0.2">
      <c r="A193" s="10" t="s">
        <v>10</v>
      </c>
      <c r="B193" s="11">
        <f t="shared" si="41"/>
        <v>7.1300721503445672E-2</v>
      </c>
      <c r="C193" s="12">
        <v>176027364.56999999</v>
      </c>
      <c r="D193" s="12">
        <f t="shared" si="38"/>
        <v>174640514.53</v>
      </c>
      <c r="E193" s="12">
        <f t="shared" si="39"/>
        <v>1386850.0399999917</v>
      </c>
      <c r="F193" s="13">
        <f t="shared" si="40"/>
        <v>7.9411701444670017E-3</v>
      </c>
    </row>
    <row r="194" spans="1:6" x14ac:dyDescent="0.2">
      <c r="A194" s="10" t="s">
        <v>11</v>
      </c>
      <c r="B194" s="11">
        <f t="shared" si="41"/>
        <v>6.993419299845241E-2</v>
      </c>
      <c r="C194" s="12">
        <v>172653676.25</v>
      </c>
      <c r="D194" s="12">
        <f t="shared" si="38"/>
        <v>186494243.25</v>
      </c>
      <c r="E194" s="12">
        <f t="shared" si="39"/>
        <v>-13840567</v>
      </c>
      <c r="F194" s="13">
        <f t="shared" si="40"/>
        <v>-7.4214446294979669E-2</v>
      </c>
    </row>
    <row r="195" spans="1:6" x14ac:dyDescent="0.2">
      <c r="A195" s="10" t="s">
        <v>12</v>
      </c>
      <c r="B195" s="11">
        <f t="shared" si="41"/>
        <v>0.10707747488759597</v>
      </c>
      <c r="C195" s="12">
        <v>264353085.24000001</v>
      </c>
      <c r="D195" s="12">
        <f t="shared" si="38"/>
        <v>250455389.12</v>
      </c>
      <c r="E195" s="12">
        <f t="shared" si="39"/>
        <v>13897696.120000005</v>
      </c>
      <c r="F195" s="13">
        <f t="shared" si="40"/>
        <v>5.5489706844923346E-2</v>
      </c>
    </row>
    <row r="196" spans="1:6" x14ac:dyDescent="0.2">
      <c r="A196" s="10" t="s">
        <v>13</v>
      </c>
      <c r="B196" s="11">
        <f t="shared" si="41"/>
        <v>9.4229820373337547E-2</v>
      </c>
      <c r="C196" s="12">
        <v>232634769.94999999</v>
      </c>
      <c r="D196" s="12">
        <f t="shared" si="38"/>
        <v>191970510.49000001</v>
      </c>
      <c r="E196" s="12">
        <f t="shared" si="39"/>
        <v>40664259.459999979</v>
      </c>
      <c r="F196" s="13">
        <f t="shared" si="40"/>
        <v>0.21182555256120045</v>
      </c>
    </row>
    <row r="197" spans="1:6" x14ac:dyDescent="0.2">
      <c r="A197" s="10" t="s">
        <v>14</v>
      </c>
      <c r="B197" s="11">
        <f t="shared" si="41"/>
        <v>7.0055449558830307E-2</v>
      </c>
      <c r="C197" s="12">
        <v>172953034.69</v>
      </c>
      <c r="D197" s="12">
        <f t="shared" si="38"/>
        <v>161190210.75999999</v>
      </c>
      <c r="E197" s="12">
        <f t="shared" si="39"/>
        <v>11762823.930000007</v>
      </c>
      <c r="F197" s="13">
        <f t="shared" si="40"/>
        <v>7.2974803336624205E-2</v>
      </c>
    </row>
    <row r="198" spans="1:6" x14ac:dyDescent="0.2">
      <c r="A198" s="10" t="s">
        <v>15</v>
      </c>
      <c r="B198" s="11">
        <f t="shared" si="41"/>
        <v>9.5350964186679113E-2</v>
      </c>
      <c r="C198" s="12">
        <v>235402652.05000001</v>
      </c>
      <c r="D198" s="12">
        <f t="shared" si="38"/>
        <v>226109062.09</v>
      </c>
      <c r="E198" s="12">
        <f t="shared" si="39"/>
        <v>9293589.9600000083</v>
      </c>
      <c r="F198" s="13">
        <f t="shared" si="40"/>
        <v>4.110224452791196E-2</v>
      </c>
    </row>
    <row r="199" spans="1:6" x14ac:dyDescent="0.2">
      <c r="A199" s="10" t="s">
        <v>16</v>
      </c>
      <c r="B199" s="11">
        <f t="shared" si="41"/>
        <v>8.0865682109155748E-2</v>
      </c>
      <c r="C199" s="12">
        <v>199641358.53999999</v>
      </c>
      <c r="D199" s="12">
        <f t="shared" si="38"/>
        <v>181448423.53</v>
      </c>
      <c r="E199" s="30">
        <f t="shared" si="39"/>
        <v>18192935.00999999</v>
      </c>
      <c r="F199" s="13">
        <f t="shared" si="40"/>
        <v>0.10026504863511276</v>
      </c>
    </row>
    <row r="200" spans="1:6" x14ac:dyDescent="0.2">
      <c r="A200" s="10" t="s">
        <v>17</v>
      </c>
      <c r="B200" s="11">
        <f t="shared" si="41"/>
        <v>9.5667330827989963E-2</v>
      </c>
      <c r="C200" s="12">
        <v>236183698.65000001</v>
      </c>
      <c r="D200" s="12">
        <f t="shared" si="38"/>
        <v>229836673.68000001</v>
      </c>
      <c r="E200" s="30">
        <f t="shared" si="39"/>
        <v>6347024.9699999988</v>
      </c>
      <c r="F200" s="13">
        <f t="shared" si="40"/>
        <v>2.7615370812566306E-2</v>
      </c>
    </row>
    <row r="201" spans="1:6" x14ac:dyDescent="0.2">
      <c r="A201" s="10" t="s">
        <v>18</v>
      </c>
      <c r="B201" s="11">
        <f t="shared" si="41"/>
        <v>8.2818708508297881E-2</v>
      </c>
      <c r="C201" s="31">
        <v>204462994.03999999</v>
      </c>
      <c r="D201" s="12">
        <f t="shared" si="38"/>
        <v>185368163.19999999</v>
      </c>
      <c r="E201" s="30">
        <f>IF(SUM(C201-D201)=0," ",C201-D201)</f>
        <v>19094830.840000004</v>
      </c>
      <c r="F201" s="13">
        <f t="shared" si="40"/>
        <v>0.10301030398298733</v>
      </c>
    </row>
    <row r="202" spans="1:6" x14ac:dyDescent="0.2">
      <c r="A202" s="16"/>
      <c r="B202" s="17"/>
      <c r="C202" s="18"/>
      <c r="D202" s="18"/>
      <c r="E202" s="12" t="str">
        <f>IF(SUM(C202-D202)=0," ",C202-D202)</f>
        <v xml:space="preserve"> </v>
      </c>
      <c r="F202" s="19" t="str">
        <f>IF(ISERR(E202/D202), " ",E202/D202)</f>
        <v xml:space="preserve"> </v>
      </c>
    </row>
    <row r="203" spans="1:6" ht="13.5" thickBot="1" x14ac:dyDescent="0.25">
      <c r="A203" s="20" t="s">
        <v>19</v>
      </c>
      <c r="B203" s="21">
        <f>SUM(B190:B202)</f>
        <v>1</v>
      </c>
      <c r="C203" s="22">
        <f>SUM(C190:C202)</f>
        <v>2468802010.1100001</v>
      </c>
      <c r="D203" s="22">
        <f>SUM(D190:D202)</f>
        <v>2354945293.9999995</v>
      </c>
      <c r="E203" s="22">
        <f>SUM(E190:E202)</f>
        <v>113856716.10999995</v>
      </c>
      <c r="F203" s="23">
        <f>E203/D203</f>
        <v>4.8347924004896216E-2</v>
      </c>
    </row>
    <row r="205" spans="1:6" ht="13.5" thickBot="1" x14ac:dyDescent="0.25"/>
    <row r="206" spans="1:6" x14ac:dyDescent="0.2">
      <c r="A206" s="97" t="s">
        <v>41</v>
      </c>
      <c r="B206" s="98"/>
      <c r="C206" s="98"/>
      <c r="D206" s="98"/>
      <c r="E206" s="98"/>
      <c r="F206" s="99"/>
    </row>
    <row r="207" spans="1:6" x14ac:dyDescent="0.2">
      <c r="A207" s="3" t="s">
        <v>2</v>
      </c>
      <c r="B207" s="4"/>
      <c r="C207" s="5" t="s">
        <v>42</v>
      </c>
      <c r="D207" s="5" t="s">
        <v>40</v>
      </c>
      <c r="E207" s="5" t="s">
        <v>5</v>
      </c>
      <c r="F207" s="6" t="s">
        <v>6</v>
      </c>
    </row>
    <row r="208" spans="1:6" x14ac:dyDescent="0.2">
      <c r="A208" s="7"/>
      <c r="B208" s="8"/>
      <c r="F208" s="9"/>
    </row>
    <row r="209" spans="1:6" s="25" customFormat="1" ht="15" x14ac:dyDescent="0.2">
      <c r="A209" s="10" t="s">
        <v>7</v>
      </c>
      <c r="B209" s="32"/>
      <c r="C209" s="12">
        <v>200799486.15000001</v>
      </c>
      <c r="D209" s="12">
        <f t="shared" ref="D209:D220" si="42">C190</f>
        <v>181065512.06</v>
      </c>
      <c r="E209" s="12">
        <f t="shared" ref="E209:E219" si="43">IF(SUM(C209-D209)=0," ",C209-D209)</f>
        <v>19733974.090000004</v>
      </c>
      <c r="F209" s="13">
        <f t="shared" ref="F209:F220" si="44">IF(ISERR(E209/D209), " ",E209/D209)</f>
        <v>0.10898803347741187</v>
      </c>
    </row>
    <row r="210" spans="1:6" x14ac:dyDescent="0.2">
      <c r="A210" s="10" t="s">
        <v>8</v>
      </c>
      <c r="B210" s="32"/>
      <c r="C210" s="12">
        <v>202088155.88999999</v>
      </c>
      <c r="D210" s="12">
        <f t="shared" si="42"/>
        <v>178565117.03999999</v>
      </c>
      <c r="E210" s="12">
        <f t="shared" si="43"/>
        <v>23523038.849999994</v>
      </c>
      <c r="F210" s="13">
        <f t="shared" si="44"/>
        <v>0.13173367363083938</v>
      </c>
    </row>
    <row r="211" spans="1:6" x14ac:dyDescent="0.2">
      <c r="A211" s="10" t="s">
        <v>9</v>
      </c>
      <c r="B211" s="32"/>
      <c r="C211" s="12">
        <v>247141261.58000001</v>
      </c>
      <c r="D211" s="12">
        <f t="shared" si="42"/>
        <v>214858747.03</v>
      </c>
      <c r="E211" s="12">
        <f t="shared" si="43"/>
        <v>32282514.550000012</v>
      </c>
      <c r="F211" s="13">
        <f t="shared" si="44"/>
        <v>0.15024994325919863</v>
      </c>
    </row>
    <row r="212" spans="1:6" x14ac:dyDescent="0.2">
      <c r="A212" s="10" t="s">
        <v>10</v>
      </c>
      <c r="B212" s="32"/>
      <c r="C212" s="12">
        <v>228080666.03999999</v>
      </c>
      <c r="D212" s="12">
        <f t="shared" si="42"/>
        <v>176027364.56999999</v>
      </c>
      <c r="E212" s="12">
        <f t="shared" si="43"/>
        <v>52053301.469999999</v>
      </c>
      <c r="F212" s="13">
        <f t="shared" si="44"/>
        <v>0.29571141735352291</v>
      </c>
    </row>
    <row r="213" spans="1:6" x14ac:dyDescent="0.2">
      <c r="A213" s="10" t="s">
        <v>11</v>
      </c>
      <c r="B213" s="32"/>
      <c r="C213" s="12">
        <v>174480416.16999999</v>
      </c>
      <c r="D213" s="12">
        <f t="shared" si="42"/>
        <v>172653676.25</v>
      </c>
      <c r="E213" s="12">
        <f t="shared" si="43"/>
        <v>1826739.9199999869</v>
      </c>
      <c r="F213" s="13">
        <f t="shared" si="44"/>
        <v>1.058037083064999E-2</v>
      </c>
    </row>
    <row r="214" spans="1:6" x14ac:dyDescent="0.2">
      <c r="A214" s="10" t="s">
        <v>12</v>
      </c>
      <c r="B214" s="32"/>
      <c r="C214" s="12">
        <v>294900995.49000001</v>
      </c>
      <c r="D214" s="12">
        <f t="shared" si="42"/>
        <v>264353085.24000001</v>
      </c>
      <c r="E214" s="12">
        <f t="shared" si="43"/>
        <v>30547910.25</v>
      </c>
      <c r="F214" s="13">
        <f t="shared" si="44"/>
        <v>0.11555722991568744</v>
      </c>
    </row>
    <row r="215" spans="1:6" x14ac:dyDescent="0.2">
      <c r="A215" s="10" t="s">
        <v>13</v>
      </c>
      <c r="B215" s="32"/>
      <c r="C215" s="12">
        <v>192526488.75</v>
      </c>
      <c r="D215" s="12">
        <f t="shared" si="42"/>
        <v>232634769.94999999</v>
      </c>
      <c r="E215" s="12">
        <f t="shared" si="43"/>
        <v>-40108281.199999988</v>
      </c>
      <c r="F215" s="13">
        <f t="shared" si="44"/>
        <v>-0.17240879860143191</v>
      </c>
    </row>
    <row r="216" spans="1:6" x14ac:dyDescent="0.2">
      <c r="A216" s="10" t="s">
        <v>14</v>
      </c>
      <c r="B216" s="32"/>
      <c r="C216" s="12">
        <v>199923539.22</v>
      </c>
      <c r="D216" s="12">
        <f t="shared" si="42"/>
        <v>172953034.69</v>
      </c>
      <c r="E216" s="12">
        <f t="shared" si="43"/>
        <v>26970504.530000001</v>
      </c>
      <c r="F216" s="13">
        <f t="shared" si="44"/>
        <v>0.15594120437575307</v>
      </c>
    </row>
    <row r="217" spans="1:6" x14ac:dyDescent="0.2">
      <c r="A217" s="10" t="s">
        <v>15</v>
      </c>
      <c r="B217" s="32"/>
      <c r="C217" s="12">
        <v>263359212.81</v>
      </c>
      <c r="D217" s="12">
        <f t="shared" si="42"/>
        <v>235402652.05000001</v>
      </c>
      <c r="E217" s="12">
        <f t="shared" si="43"/>
        <v>27956560.75999999</v>
      </c>
      <c r="F217" s="13">
        <f t="shared" si="44"/>
        <v>0.11876060238294155</v>
      </c>
    </row>
    <row r="218" spans="1:6" x14ac:dyDescent="0.2">
      <c r="A218" s="10" t="s">
        <v>16</v>
      </c>
      <c r="B218" s="32"/>
      <c r="C218" s="12">
        <v>211591347.99000001</v>
      </c>
      <c r="D218" s="12">
        <f t="shared" si="42"/>
        <v>199641358.53999999</v>
      </c>
      <c r="E218" s="30">
        <f t="shared" si="43"/>
        <v>11949989.450000018</v>
      </c>
      <c r="F218" s="13">
        <f t="shared" si="44"/>
        <v>5.9857283768211422E-2</v>
      </c>
    </row>
    <row r="219" spans="1:6" x14ac:dyDescent="0.2">
      <c r="A219" s="10" t="s">
        <v>17</v>
      </c>
      <c r="B219" s="32"/>
      <c r="C219" s="12">
        <v>272005213.01999998</v>
      </c>
      <c r="D219" s="12">
        <f t="shared" si="42"/>
        <v>236183698.65000001</v>
      </c>
      <c r="E219" s="30">
        <f t="shared" si="43"/>
        <v>35821514.369999975</v>
      </c>
      <c r="F219" s="13">
        <f t="shared" si="44"/>
        <v>0.15166802186074571</v>
      </c>
    </row>
    <row r="220" spans="1:6" x14ac:dyDescent="0.2">
      <c r="A220" s="10" t="s">
        <v>18</v>
      </c>
      <c r="B220" s="32"/>
      <c r="C220" s="31">
        <v>230494050.78999999</v>
      </c>
      <c r="D220" s="12">
        <f t="shared" si="42"/>
        <v>204462994.03999999</v>
      </c>
      <c r="E220" s="30">
        <f>IF(SUM(C220-D220)=0," ",C220-D220)</f>
        <v>26031056.75</v>
      </c>
      <c r="F220" s="13">
        <f t="shared" si="44"/>
        <v>0.12731426961745179</v>
      </c>
    </row>
    <row r="221" spans="1:6" x14ac:dyDescent="0.2">
      <c r="A221" s="16"/>
      <c r="B221" s="17"/>
      <c r="C221" s="18"/>
      <c r="D221" s="18"/>
      <c r="E221" s="12" t="str">
        <f>IF(SUM(C221-D221)=0," ",C221-D221)</f>
        <v xml:space="preserve"> </v>
      </c>
      <c r="F221" s="19" t="str">
        <f>IF(ISERR(E221/D221), " ",E221/D221)</f>
        <v xml:space="preserve"> </v>
      </c>
    </row>
    <row r="222" spans="1:6" ht="13.5" thickBot="1" x14ac:dyDescent="0.25">
      <c r="A222" s="20" t="s">
        <v>19</v>
      </c>
      <c r="B222" s="33"/>
      <c r="C222" s="22">
        <f>SUM(C209:C221)</f>
        <v>2717390833.9000001</v>
      </c>
      <c r="D222" s="22">
        <f>SUM(D209:D221)</f>
        <v>2468802010.1100001</v>
      </c>
      <c r="E222" s="22">
        <f>SUM(E209:E221)</f>
        <v>248588823.78999999</v>
      </c>
      <c r="F222" s="23">
        <f>E222/D222</f>
        <v>0.10069208578573859</v>
      </c>
    </row>
    <row r="224" spans="1:6" ht="13.5" thickBot="1" x14ac:dyDescent="0.25"/>
    <row r="225" spans="1:6" x14ac:dyDescent="0.2">
      <c r="A225" s="97" t="s">
        <v>43</v>
      </c>
      <c r="B225" s="98"/>
      <c r="C225" s="98"/>
      <c r="D225" s="98"/>
      <c r="E225" s="98"/>
      <c r="F225" s="99"/>
    </row>
    <row r="226" spans="1:6" x14ac:dyDescent="0.2">
      <c r="A226" s="3" t="s">
        <v>2</v>
      </c>
      <c r="B226" s="4"/>
      <c r="C226" s="5" t="s">
        <v>44</v>
      </c>
      <c r="D226" s="5" t="s">
        <v>42</v>
      </c>
      <c r="E226" s="5" t="s">
        <v>5</v>
      </c>
      <c r="F226" s="6" t="s">
        <v>6</v>
      </c>
    </row>
    <row r="227" spans="1:6" x14ac:dyDescent="0.2">
      <c r="A227" s="7"/>
      <c r="B227" s="8"/>
      <c r="F227" s="9"/>
    </row>
    <row r="228" spans="1:6" s="25" customFormat="1" ht="15" x14ac:dyDescent="0.2">
      <c r="A228" s="10" t="s">
        <v>7</v>
      </c>
      <c r="B228" s="32"/>
      <c r="C228" s="12">
        <v>217197293.53999999</v>
      </c>
      <c r="D228" s="12">
        <f t="shared" ref="D228:D235" si="45">C209</f>
        <v>200799486.15000001</v>
      </c>
      <c r="E228" s="12">
        <f t="shared" ref="E228:E238" si="46">IF(SUM(C228-D228)=0," ",C228-D228)</f>
        <v>16397807.389999986</v>
      </c>
      <c r="F228" s="13">
        <f t="shared" ref="F228:F239" si="47">IF(ISERR(E228/D228), " ",E228/D228)</f>
        <v>8.166259637612118E-2</v>
      </c>
    </row>
    <row r="229" spans="1:6" x14ac:dyDescent="0.2">
      <c r="A229" s="10" t="s">
        <v>8</v>
      </c>
      <c r="B229" s="32"/>
      <c r="C229" s="12">
        <v>222376546.97999999</v>
      </c>
      <c r="D229" s="12">
        <f t="shared" si="45"/>
        <v>202088155.88999999</v>
      </c>
      <c r="E229" s="12">
        <f t="shared" si="46"/>
        <v>20288391.090000004</v>
      </c>
      <c r="F229" s="13">
        <f t="shared" si="47"/>
        <v>0.10039376627813516</v>
      </c>
    </row>
    <row r="230" spans="1:6" x14ac:dyDescent="0.2">
      <c r="A230" s="10" t="s">
        <v>9</v>
      </c>
      <c r="B230" s="32"/>
      <c r="C230" s="12">
        <v>268837254.91000003</v>
      </c>
      <c r="D230" s="12">
        <f t="shared" si="45"/>
        <v>247141261.58000001</v>
      </c>
      <c r="E230" s="12">
        <f t="shared" si="46"/>
        <v>21695993.330000013</v>
      </c>
      <c r="F230" s="13">
        <f t="shared" si="47"/>
        <v>8.7787823009784979E-2</v>
      </c>
    </row>
    <row r="231" spans="1:6" x14ac:dyDescent="0.2">
      <c r="A231" s="10" t="s">
        <v>10</v>
      </c>
      <c r="B231" s="32"/>
      <c r="C231" s="12">
        <v>217424181.49000001</v>
      </c>
      <c r="D231" s="12">
        <f t="shared" si="45"/>
        <v>228080666.03999999</v>
      </c>
      <c r="E231" s="12">
        <f t="shared" si="46"/>
        <v>-10656484.549999982</v>
      </c>
      <c r="F231" s="13">
        <f t="shared" si="47"/>
        <v>-4.6722437000122949E-2</v>
      </c>
    </row>
    <row r="232" spans="1:6" x14ac:dyDescent="0.2">
      <c r="A232" s="10" t="s">
        <v>11</v>
      </c>
      <c r="B232" s="32"/>
      <c r="C232" s="12">
        <v>212102630.78</v>
      </c>
      <c r="D232" s="12">
        <f t="shared" si="45"/>
        <v>174480416.16999999</v>
      </c>
      <c r="E232" s="12">
        <f t="shared" si="46"/>
        <v>37622214.610000014</v>
      </c>
      <c r="F232" s="13">
        <f t="shared" si="47"/>
        <v>0.21562428286131488</v>
      </c>
    </row>
    <row r="233" spans="1:6" x14ac:dyDescent="0.2">
      <c r="A233" s="10" t="s">
        <v>12</v>
      </c>
      <c r="B233" s="32"/>
      <c r="C233" s="12">
        <v>332885859.47000003</v>
      </c>
      <c r="D233" s="12">
        <f t="shared" si="45"/>
        <v>294900995.49000001</v>
      </c>
      <c r="E233" s="12">
        <f t="shared" si="46"/>
        <v>37984863.980000019</v>
      </c>
      <c r="F233" s="13">
        <f t="shared" si="47"/>
        <v>0.12880547899434971</v>
      </c>
    </row>
    <row r="234" spans="1:6" x14ac:dyDescent="0.2">
      <c r="A234" s="10" t="s">
        <v>13</v>
      </c>
      <c r="B234" s="32"/>
      <c r="C234" s="12">
        <v>208401959.25999999</v>
      </c>
      <c r="D234" s="12">
        <f t="shared" si="45"/>
        <v>192526488.75</v>
      </c>
      <c r="E234" s="12">
        <f t="shared" si="46"/>
        <v>15875470.50999999</v>
      </c>
      <c r="F234" s="13">
        <f t="shared" si="47"/>
        <v>8.2458630046562828E-2</v>
      </c>
    </row>
    <row r="235" spans="1:6" x14ac:dyDescent="0.2">
      <c r="A235" s="10" t="s">
        <v>14</v>
      </c>
      <c r="B235" s="32"/>
      <c r="C235" s="12">
        <v>205156392.83000001</v>
      </c>
      <c r="D235" s="12">
        <f t="shared" si="45"/>
        <v>199923539.22</v>
      </c>
      <c r="E235" s="12">
        <f t="shared" si="46"/>
        <v>5232853.6100000143</v>
      </c>
      <c r="F235" s="13">
        <f t="shared" si="47"/>
        <v>2.6174274577250627E-2</v>
      </c>
    </row>
    <row r="236" spans="1:6" x14ac:dyDescent="0.2">
      <c r="A236" s="10" t="s">
        <v>15</v>
      </c>
      <c r="B236" s="32"/>
      <c r="C236" s="12">
        <v>279613318.91000003</v>
      </c>
      <c r="D236" s="12">
        <f>C217</f>
        <v>263359212.81</v>
      </c>
      <c r="E236" s="12">
        <f>IF(SUM(C236-D236)=0," ",C236-D236)</f>
        <v>16254106.100000024</v>
      </c>
      <c r="F236" s="13">
        <f>IF(ISERR(E236/D236), " ",E236/D236)</f>
        <v>6.1718388077528608E-2</v>
      </c>
    </row>
    <row r="237" spans="1:6" x14ac:dyDescent="0.2">
      <c r="A237" s="10" t="s">
        <v>16</v>
      </c>
      <c r="B237" s="32"/>
      <c r="C237" s="12">
        <v>224031235.28</v>
      </c>
      <c r="D237" s="12">
        <f>C218</f>
        <v>211591347.99000001</v>
      </c>
      <c r="E237" s="30">
        <f t="shared" si="46"/>
        <v>12439887.289999992</v>
      </c>
      <c r="F237" s="13">
        <f t="shared" si="47"/>
        <v>5.8792041395699747E-2</v>
      </c>
    </row>
    <row r="238" spans="1:6" x14ac:dyDescent="0.2">
      <c r="A238" s="10" t="s">
        <v>17</v>
      </c>
      <c r="B238" s="32"/>
      <c r="C238" s="12">
        <v>271710422</v>
      </c>
      <c r="D238" s="12">
        <f>C219</f>
        <v>272005213.01999998</v>
      </c>
      <c r="E238" s="30">
        <f t="shared" si="46"/>
        <v>-294791.01999998093</v>
      </c>
      <c r="F238" s="13">
        <f t="shared" si="47"/>
        <v>-1.0837697437008516E-3</v>
      </c>
    </row>
    <row r="239" spans="1:6" x14ac:dyDescent="0.2">
      <c r="A239" s="10" t="s">
        <v>18</v>
      </c>
      <c r="B239" s="32"/>
      <c r="C239" s="31">
        <v>248858135.81</v>
      </c>
      <c r="D239" s="12">
        <f>C220</f>
        <v>230494050.78999999</v>
      </c>
      <c r="E239" s="30">
        <f>IF(SUM(C239-D239)=0," ",C239-D239)</f>
        <v>18364085.020000011</v>
      </c>
      <c r="F239" s="13">
        <f t="shared" si="47"/>
        <v>7.9672707200288129E-2</v>
      </c>
    </row>
    <row r="240" spans="1:6" x14ac:dyDescent="0.2">
      <c r="A240" s="16"/>
      <c r="B240" s="17"/>
      <c r="C240" s="18"/>
      <c r="D240" s="18"/>
      <c r="E240" s="12" t="str">
        <f>IF(SUM(C240-D240)=0," ",C240-D240)</f>
        <v xml:space="preserve"> </v>
      </c>
      <c r="F240" s="19" t="str">
        <f>IF(ISERR(E240/D240), " ",E240/D240)</f>
        <v xml:space="preserve"> </v>
      </c>
    </row>
    <row r="241" spans="1:18" ht="13.5" thickBot="1" x14ac:dyDescent="0.25">
      <c r="A241" s="20" t="s">
        <v>19</v>
      </c>
      <c r="B241" s="33"/>
      <c r="C241" s="22">
        <f>SUM(C228:C240)</f>
        <v>2908595231.2600002</v>
      </c>
      <c r="D241" s="22">
        <f>SUM(D228:D240)</f>
        <v>2717390833.9000001</v>
      </c>
      <c r="E241" s="22">
        <f>SUM(E228:E240)</f>
        <v>191204397.3600001</v>
      </c>
      <c r="F241" s="23">
        <f>E241/D241</f>
        <v>7.036323041010023E-2</v>
      </c>
    </row>
    <row r="243" spans="1:18" ht="13.5" thickBot="1" x14ac:dyDescent="0.25"/>
    <row r="244" spans="1:18" x14ac:dyDescent="0.2">
      <c r="A244" s="97" t="s">
        <v>45</v>
      </c>
      <c r="B244" s="98"/>
      <c r="C244" s="98"/>
      <c r="D244" s="98"/>
      <c r="E244" s="98"/>
      <c r="F244" s="99"/>
      <c r="R244" s="34">
        <v>1</v>
      </c>
    </row>
    <row r="245" spans="1:18" x14ac:dyDescent="0.2">
      <c r="A245" s="3" t="s">
        <v>2</v>
      </c>
      <c r="B245" s="4"/>
      <c r="C245" s="5" t="s">
        <v>46</v>
      </c>
      <c r="D245" s="5" t="s">
        <v>44</v>
      </c>
      <c r="E245" s="5" t="s">
        <v>5</v>
      </c>
      <c r="F245" s="6" t="s">
        <v>6</v>
      </c>
      <c r="R245" s="34">
        <v>2</v>
      </c>
    </row>
    <row r="246" spans="1:18" x14ac:dyDescent="0.2">
      <c r="A246" s="7"/>
      <c r="B246" s="8"/>
      <c r="F246" s="9"/>
    </row>
    <row r="247" spans="1:18" s="25" customFormat="1" ht="15" x14ac:dyDescent="0.2">
      <c r="A247" s="10" t="s">
        <v>7</v>
      </c>
      <c r="B247" s="32"/>
      <c r="C247" s="12">
        <v>214401822.46000001</v>
      </c>
      <c r="D247" s="12">
        <f t="shared" ref="D247:D254" si="48">+C228</f>
        <v>217197293.53999999</v>
      </c>
      <c r="E247" s="12">
        <f t="shared" ref="E247:E254" si="49">IF(SUM(C247-D247)=0," ",C247-D247)</f>
        <v>-2795471.0799999833</v>
      </c>
      <c r="F247" s="13">
        <f t="shared" ref="F247:F254" si="50">IF(ISERR(E247/D247), " ",E247/D247)</f>
        <v>-1.2870653378952705E-2</v>
      </c>
    </row>
    <row r="248" spans="1:18" x14ac:dyDescent="0.2">
      <c r="A248" s="10" t="s">
        <v>8</v>
      </c>
      <c r="B248" s="32"/>
      <c r="C248" s="12">
        <v>256229843.62</v>
      </c>
      <c r="D248" s="12">
        <f t="shared" si="48"/>
        <v>222376546.97999999</v>
      </c>
      <c r="E248" s="12">
        <f t="shared" si="49"/>
        <v>33853296.640000015</v>
      </c>
      <c r="F248" s="13">
        <f t="shared" si="50"/>
        <v>0.15223411416242874</v>
      </c>
    </row>
    <row r="249" spans="1:18" x14ac:dyDescent="0.2">
      <c r="A249" s="10" t="s">
        <v>9</v>
      </c>
      <c r="B249" s="32"/>
      <c r="C249" s="12">
        <v>275830446.75999999</v>
      </c>
      <c r="D249" s="12">
        <f t="shared" si="48"/>
        <v>268837254.91000003</v>
      </c>
      <c r="E249" s="12">
        <f t="shared" si="49"/>
        <v>6993191.8499999642</v>
      </c>
      <c r="F249" s="13">
        <f t="shared" si="50"/>
        <v>2.6012733437339664E-2</v>
      </c>
    </row>
    <row r="250" spans="1:18" x14ac:dyDescent="0.2">
      <c r="A250" s="10" t="s">
        <v>10</v>
      </c>
      <c r="B250" s="32"/>
      <c r="C250" s="12">
        <v>232356531.5</v>
      </c>
      <c r="D250" s="12">
        <f t="shared" si="48"/>
        <v>217424181.49000001</v>
      </c>
      <c r="E250" s="12">
        <f t="shared" si="49"/>
        <v>14932350.00999999</v>
      </c>
      <c r="F250" s="13">
        <f t="shared" si="50"/>
        <v>6.8678423474652819E-2</v>
      </c>
    </row>
    <row r="251" spans="1:18" x14ac:dyDescent="0.2">
      <c r="A251" s="10" t="s">
        <v>11</v>
      </c>
      <c r="B251" s="32"/>
      <c r="C251" s="12">
        <v>229722169.59</v>
      </c>
      <c r="D251" s="12">
        <f t="shared" si="48"/>
        <v>212102630.78</v>
      </c>
      <c r="E251" s="12">
        <f t="shared" si="49"/>
        <v>17619538.810000002</v>
      </c>
      <c r="F251" s="13">
        <f t="shared" si="50"/>
        <v>8.3070816921057347E-2</v>
      </c>
    </row>
    <row r="252" spans="1:18" x14ac:dyDescent="0.2">
      <c r="A252" s="10" t="s">
        <v>12</v>
      </c>
      <c r="B252" s="32"/>
      <c r="C252" s="12">
        <v>333336889.35000002</v>
      </c>
      <c r="D252" s="12">
        <f t="shared" si="48"/>
        <v>332885859.47000003</v>
      </c>
      <c r="E252" s="12">
        <f t="shared" si="49"/>
        <v>451029.87999999523</v>
      </c>
      <c r="F252" s="13">
        <f t="shared" si="50"/>
        <v>1.3549084984207402E-3</v>
      </c>
    </row>
    <row r="253" spans="1:18" x14ac:dyDescent="0.2">
      <c r="A253" s="10" t="s">
        <v>13</v>
      </c>
      <c r="B253" s="32"/>
      <c r="C253" s="12">
        <v>218883096.66</v>
      </c>
      <c r="D253" s="12">
        <f t="shared" si="48"/>
        <v>208401959.25999999</v>
      </c>
      <c r="E253" s="12">
        <f t="shared" si="49"/>
        <v>10481137.400000006</v>
      </c>
      <c r="F253" s="13">
        <f t="shared" si="50"/>
        <v>5.0292892817403193E-2</v>
      </c>
    </row>
    <row r="254" spans="1:18" x14ac:dyDescent="0.2">
      <c r="A254" s="10" t="s">
        <v>14</v>
      </c>
      <c r="B254" s="32"/>
      <c r="C254" s="12">
        <v>211881585.13999999</v>
      </c>
      <c r="D254" s="12">
        <f t="shared" si="48"/>
        <v>205156392.83000001</v>
      </c>
      <c r="E254" s="12">
        <f t="shared" si="49"/>
        <v>6725192.3099999726</v>
      </c>
      <c r="F254" s="13">
        <f t="shared" si="50"/>
        <v>3.2780807935011362E-2</v>
      </c>
    </row>
    <row r="255" spans="1:18" x14ac:dyDescent="0.2">
      <c r="A255" s="10" t="s">
        <v>15</v>
      </c>
      <c r="B255" s="32"/>
      <c r="C255" s="12">
        <v>295556742.04000002</v>
      </c>
      <c r="D255" s="12">
        <f>+C236</f>
        <v>279613318.91000003</v>
      </c>
      <c r="E255" s="12">
        <f>IF(SUM(C255-D255)=0," ",C255-D255)</f>
        <v>15943423.129999995</v>
      </c>
      <c r="F255" s="13">
        <f>IF(ISERR(E255/D255), " ",E255/D255)</f>
        <v>5.7019541101086646E-2</v>
      </c>
    </row>
    <row r="256" spans="1:18" x14ac:dyDescent="0.2">
      <c r="A256" s="10" t="s">
        <v>16</v>
      </c>
      <c r="B256" s="32"/>
      <c r="C256" s="12">
        <v>237375429.72</v>
      </c>
      <c r="D256" s="12">
        <f>+C237</f>
        <v>224031235.28</v>
      </c>
      <c r="E256" s="30">
        <f>IF(SUM(C256-D256)=0," ",C256-D256)</f>
        <v>13344194.439999998</v>
      </c>
      <c r="F256" s="13">
        <f>IF(ISERR(E256/D256), " ",E256/D256)</f>
        <v>5.9563990812808221E-2</v>
      </c>
    </row>
    <row r="257" spans="1:6" x14ac:dyDescent="0.2">
      <c r="A257" s="10" t="s">
        <v>17</v>
      </c>
      <c r="B257" s="32"/>
      <c r="C257" s="12">
        <v>301712377.35000002</v>
      </c>
      <c r="D257" s="12">
        <f>+C238</f>
        <v>271710422</v>
      </c>
      <c r="E257" s="30">
        <f>IF(SUM(C257-D257)=0," ",C257-D257)</f>
        <v>30001955.350000024</v>
      </c>
      <c r="F257" s="13">
        <f>IF(ISERR(E257/D257), " ",E257/D257)</f>
        <v>0.11041886111383693</v>
      </c>
    </row>
    <row r="258" spans="1:6" x14ac:dyDescent="0.2">
      <c r="A258" s="10" t="s">
        <v>18</v>
      </c>
      <c r="B258" s="32"/>
      <c r="C258" s="31">
        <v>252925722.02000001</v>
      </c>
      <c r="D258" s="12">
        <f>+C239</f>
        <v>248858135.81</v>
      </c>
      <c r="E258" s="30">
        <f>IF(SUM(C258-D258)=0," ",C258-D258)</f>
        <v>4067586.2100000083</v>
      </c>
      <c r="F258" s="13">
        <f>IF(ISERR(E258/D258), " ",E258/D258)</f>
        <v>1.6344999920378567E-2</v>
      </c>
    </row>
    <row r="259" spans="1:6" x14ac:dyDescent="0.2">
      <c r="A259" s="16"/>
      <c r="B259" s="17"/>
      <c r="C259" s="18"/>
      <c r="D259" s="18"/>
      <c r="E259" s="12" t="str">
        <f>IF(SUM(C259-D259)=0," ",C259-D259)</f>
        <v xml:space="preserve"> </v>
      </c>
      <c r="F259" s="19" t="str">
        <f>IF(ISERR(E259/D259), " ",E259/D259)</f>
        <v xml:space="preserve"> </v>
      </c>
    </row>
    <row r="260" spans="1:6" ht="13.5" thickBot="1" x14ac:dyDescent="0.25">
      <c r="A260" s="20" t="s">
        <v>19</v>
      </c>
      <c r="B260" s="33"/>
      <c r="C260" s="22">
        <f>SUM(C247:C259)</f>
        <v>3060212656.21</v>
      </c>
      <c r="D260" s="22">
        <f>SUM(D247:D259)</f>
        <v>2908595231.2600002</v>
      </c>
      <c r="E260" s="22">
        <f>SUM(E247:E259)</f>
        <v>151617424.94999999</v>
      </c>
      <c r="F260" s="23">
        <f>E260/D260</f>
        <v>5.2127371770571009E-2</v>
      </c>
    </row>
    <row r="261" spans="1:6" x14ac:dyDescent="0.2">
      <c r="A261" s="35"/>
      <c r="D261" s="36"/>
    </row>
    <row r="262" spans="1:6" x14ac:dyDescent="0.2">
      <c r="A262" s="35"/>
      <c r="D262" s="36"/>
    </row>
    <row r="263" spans="1:6" x14ac:dyDescent="0.2">
      <c r="A263" s="35" t="s">
        <v>47</v>
      </c>
      <c r="D263" s="36" t="s">
        <v>48</v>
      </c>
    </row>
    <row r="264" spans="1:6" x14ac:dyDescent="0.2">
      <c r="A264" s="35" t="s">
        <v>49</v>
      </c>
    </row>
  </sheetData>
  <mergeCells count="15">
    <mergeCell ref="A206:F206"/>
    <mergeCell ref="A225:F225"/>
    <mergeCell ref="A244:F244"/>
    <mergeCell ref="A93:F93"/>
    <mergeCell ref="A111:F111"/>
    <mergeCell ref="A130:F130"/>
    <mergeCell ref="A149:F149"/>
    <mergeCell ref="A168:F168"/>
    <mergeCell ref="A187:F187"/>
    <mergeCell ref="A75:F75"/>
    <mergeCell ref="A1:F1"/>
    <mergeCell ref="A3:F3"/>
    <mergeCell ref="A21:F21"/>
    <mergeCell ref="A39:F39"/>
    <mergeCell ref="A57:F57"/>
  </mergeCells>
  <hyperlinks>
    <hyperlink ref="D263" r:id="rId1"/>
  </hyperlinks>
  <printOptions horizontalCentered="1" verticalCentered="1"/>
  <pageMargins left="0.5" right="0.5" top="0" bottom="0.25" header="0" footer="0.15"/>
  <pageSetup scale="7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zoomScale="110" zoomScaleNormal="110" workbookViewId="0">
      <selection activeCell="A3" sqref="A3"/>
    </sheetView>
  </sheetViews>
  <sheetFormatPr defaultRowHeight="12.75" x14ac:dyDescent="0.2"/>
  <cols>
    <col min="1" max="1" width="19.42578125" customWidth="1"/>
    <col min="2" max="2" width="16" style="1" bestFit="1" customWidth="1"/>
    <col min="3" max="3" width="16.5703125" style="1" customWidth="1"/>
    <col min="4" max="4" width="17.85546875" style="1" customWidth="1"/>
    <col min="5" max="5" width="14" style="1" customWidth="1"/>
    <col min="6" max="6" width="15.5703125" style="1" customWidth="1"/>
    <col min="7" max="8" width="16.140625" style="1" hidden="1" customWidth="1"/>
    <col min="9" max="9" width="13.5703125" style="1" hidden="1" customWidth="1"/>
    <col min="10" max="10" width="0" hidden="1" customWidth="1"/>
    <col min="11" max="11" width="12.7109375" customWidth="1"/>
    <col min="12" max="12" width="15.85546875" customWidth="1"/>
    <col min="13" max="13" width="14.7109375" customWidth="1"/>
    <col min="14" max="14" width="16" customWidth="1"/>
    <col min="15" max="15" width="14.42578125" customWidth="1"/>
    <col min="16" max="16" width="15.42578125" customWidth="1"/>
    <col min="17" max="17" width="16.140625" bestFit="1" customWidth="1"/>
    <col min="18" max="18" width="15.5703125" customWidth="1"/>
    <col min="19" max="19" width="16.140625" bestFit="1" customWidth="1"/>
    <col min="20" max="20" width="18" bestFit="1" customWidth="1"/>
  </cols>
  <sheetData>
    <row r="1" spans="1:20" ht="31.5" customHeight="1" x14ac:dyDescent="0.25">
      <c r="A1" s="102" t="s">
        <v>50</v>
      </c>
      <c r="B1" s="102"/>
      <c r="C1" s="102"/>
      <c r="D1" s="102"/>
      <c r="E1" s="102"/>
      <c r="F1" s="24"/>
      <c r="G1" s="24"/>
      <c r="H1" s="24"/>
      <c r="I1" s="24"/>
    </row>
    <row r="2" spans="1:20" ht="15.75" x14ac:dyDescent="0.25">
      <c r="A2" s="103" t="s">
        <v>99</v>
      </c>
      <c r="B2" s="101"/>
      <c r="C2" s="101"/>
      <c r="D2" s="101"/>
      <c r="E2" s="101"/>
      <c r="F2" s="24"/>
      <c r="G2" s="24"/>
      <c r="H2" s="24"/>
      <c r="I2" s="24"/>
      <c r="M2" s="37"/>
      <c r="N2" s="37"/>
      <c r="O2" s="37"/>
      <c r="P2" s="37"/>
    </row>
    <row r="3" spans="1:20" ht="12" customHeight="1" x14ac:dyDescent="0.25">
      <c r="C3" s="38" t="s">
        <v>51</v>
      </c>
      <c r="D3" s="39">
        <v>1</v>
      </c>
      <c r="G3" s="24"/>
      <c r="H3" s="24"/>
      <c r="I3" s="24"/>
      <c r="M3" s="40"/>
      <c r="N3" s="40"/>
      <c r="O3" s="40"/>
      <c r="P3" s="40"/>
      <c r="R3" s="40"/>
    </row>
    <row r="4" spans="1:20" ht="16.5" thickBot="1" x14ac:dyDescent="0.3">
      <c r="A4" s="41" t="s">
        <v>52</v>
      </c>
      <c r="B4" s="24"/>
      <c r="C4" s="38" t="s">
        <v>53</v>
      </c>
      <c r="D4" s="39">
        <f>12/12</f>
        <v>1</v>
      </c>
      <c r="E4" s="42">
        <v>41852</v>
      </c>
      <c r="F4" s="24"/>
      <c r="G4" s="24"/>
      <c r="H4" s="24"/>
      <c r="I4" s="24"/>
      <c r="K4" s="2"/>
      <c r="L4" s="43"/>
      <c r="M4" s="44"/>
      <c r="N4" s="44"/>
      <c r="O4" s="44"/>
      <c r="P4" s="44"/>
      <c r="Q4" s="44"/>
      <c r="R4" s="44"/>
      <c r="S4" s="2"/>
    </row>
    <row r="5" spans="1:20" s="2" customFormat="1" x14ac:dyDescent="0.2">
      <c r="A5" s="97" t="s">
        <v>54</v>
      </c>
      <c r="B5" s="98"/>
      <c r="C5" s="98"/>
      <c r="D5" s="98"/>
      <c r="E5" s="99"/>
      <c r="F5"/>
      <c r="G5"/>
      <c r="H5"/>
      <c r="I5"/>
      <c r="K5" s="45"/>
      <c r="L5" s="45" t="s">
        <v>55</v>
      </c>
      <c r="M5" s="45" t="s">
        <v>56</v>
      </c>
      <c r="N5" s="45"/>
      <c r="O5" s="45"/>
      <c r="P5" s="45"/>
      <c r="Q5" s="45"/>
      <c r="R5" s="45"/>
      <c r="S5"/>
      <c r="T5"/>
    </row>
    <row r="6" spans="1:20" x14ac:dyDescent="0.2">
      <c r="A6" s="3" t="s">
        <v>2</v>
      </c>
      <c r="B6" s="5" t="s">
        <v>46</v>
      </c>
      <c r="C6" s="5" t="s">
        <v>44</v>
      </c>
      <c r="D6" s="5" t="s">
        <v>5</v>
      </c>
      <c r="E6" s="6" t="s">
        <v>6</v>
      </c>
      <c r="F6"/>
      <c r="G6"/>
      <c r="H6"/>
      <c r="I6"/>
      <c r="K6" s="45"/>
      <c r="L6" s="46"/>
      <c r="M6" s="46" t="s">
        <v>57</v>
      </c>
      <c r="N6" s="45" t="s">
        <v>58</v>
      </c>
      <c r="O6" s="45" t="s">
        <v>59</v>
      </c>
      <c r="P6" s="45" t="s">
        <v>60</v>
      </c>
      <c r="Q6" s="45" t="s">
        <v>61</v>
      </c>
      <c r="R6" s="45" t="s">
        <v>62</v>
      </c>
      <c r="S6" s="45" t="s">
        <v>63</v>
      </c>
    </row>
    <row r="7" spans="1:20" x14ac:dyDescent="0.2">
      <c r="A7" s="10" t="s">
        <v>7</v>
      </c>
      <c r="B7" s="15">
        <f t="shared" ref="B7:B18" si="0">S7</f>
        <v>218059225.29000002</v>
      </c>
      <c r="C7" s="15">
        <f t="shared" ref="C7:C18" si="1">L7</f>
        <v>220700415.22</v>
      </c>
      <c r="D7" s="12">
        <f>IF(SUM(B7-C7)=0," ",B7-C7)</f>
        <v>-2641189.9299999774</v>
      </c>
      <c r="E7" s="13">
        <f>IF(ISERR(D7/C7), " ",D7/C7)</f>
        <v>-1.196730838665242E-2</v>
      </c>
      <c r="F7"/>
      <c r="G7"/>
      <c r="H7"/>
      <c r="I7"/>
      <c r="K7" s="45" t="s">
        <v>7</v>
      </c>
      <c r="L7" s="46">
        <v>220700415.22</v>
      </c>
      <c r="M7" s="46">
        <v>55563836.920000002</v>
      </c>
      <c r="N7" s="47">
        <v>2433002.35</v>
      </c>
      <c r="O7" s="46">
        <v>25785390</v>
      </c>
      <c r="P7" s="46">
        <v>134276996.02000001</v>
      </c>
      <c r="Q7" s="46"/>
      <c r="R7" s="46">
        <v>0</v>
      </c>
      <c r="S7" s="47">
        <f t="shared" ref="S7:S18" si="2">SUM(M7:R7)</f>
        <v>218059225.29000002</v>
      </c>
    </row>
    <row r="8" spans="1:20" x14ac:dyDescent="0.2">
      <c r="A8" s="10" t="s">
        <v>8</v>
      </c>
      <c r="B8" s="15">
        <f t="shared" si="0"/>
        <v>256304680.58000001</v>
      </c>
      <c r="C8" s="15">
        <f t="shared" si="1"/>
        <v>222526430.47</v>
      </c>
      <c r="D8" s="12">
        <f>IF(SUM(B8-C8)=0," ",B8-C8)</f>
        <v>33778250.110000014</v>
      </c>
      <c r="E8" s="13">
        <f>IF(ISERR(D8/C8), " ",D8/C8)</f>
        <v>0.15179432860472655</v>
      </c>
      <c r="F8"/>
      <c r="G8" s="48"/>
      <c r="H8" s="48"/>
      <c r="I8"/>
      <c r="K8" s="45" t="s">
        <v>8</v>
      </c>
      <c r="L8" s="46">
        <v>222526430.47</v>
      </c>
      <c r="M8" s="46">
        <v>65309190.450000003</v>
      </c>
      <c r="N8" s="47">
        <v>2859727.16</v>
      </c>
      <c r="O8" s="46">
        <v>30307895.199999999</v>
      </c>
      <c r="P8" s="46">
        <v>157827867.77000001</v>
      </c>
      <c r="Q8" s="46"/>
      <c r="R8" s="45"/>
      <c r="S8" s="47">
        <f t="shared" si="2"/>
        <v>256304680.58000001</v>
      </c>
    </row>
    <row r="9" spans="1:20" x14ac:dyDescent="0.2">
      <c r="A9" s="10" t="s">
        <v>9</v>
      </c>
      <c r="B9" s="15">
        <f t="shared" si="0"/>
        <v>275831069.97000003</v>
      </c>
      <c r="C9" s="15">
        <f t="shared" si="1"/>
        <v>268838231.32999998</v>
      </c>
      <c r="D9" s="12">
        <f>IF(SUM(B9-C9)=0," ",B9-C9)</f>
        <v>6992838.6400000453</v>
      </c>
      <c r="E9" s="13">
        <f>IF(ISERR(D9/C9), " ",D9/C9)</f>
        <v>2.6011325120705427E-2</v>
      </c>
      <c r="F9"/>
      <c r="G9" s="48"/>
      <c r="H9" s="48"/>
      <c r="I9"/>
      <c r="K9" s="45" t="s">
        <v>9</v>
      </c>
      <c r="L9" s="46">
        <v>268838231.32999998</v>
      </c>
      <c r="M9" s="46">
        <v>65964288.740000002</v>
      </c>
      <c r="N9" s="47">
        <v>3776645.91</v>
      </c>
      <c r="O9" s="46">
        <v>35128192.840000004</v>
      </c>
      <c r="P9" s="49">
        <f>155961942.48+15000000</f>
        <v>170961942.47999999</v>
      </c>
      <c r="Q9" s="46"/>
      <c r="R9" s="45"/>
      <c r="S9" s="47">
        <f t="shared" si="2"/>
        <v>275831069.97000003</v>
      </c>
    </row>
    <row r="10" spans="1:20" x14ac:dyDescent="0.2">
      <c r="A10" s="10" t="s">
        <v>10</v>
      </c>
      <c r="B10" s="15">
        <f t="shared" si="0"/>
        <v>233460663.31999999</v>
      </c>
      <c r="C10" s="15">
        <f t="shared" si="1"/>
        <v>217424181.49000001</v>
      </c>
      <c r="D10" s="12">
        <f>IF(SUM(B10-C10)=0," ",B10-C10)</f>
        <v>16036481.829999983</v>
      </c>
      <c r="E10" s="13">
        <f>IF(ISERR(D10/C10), " ",D10/C10)</f>
        <v>7.3756661840015017E-2</v>
      </c>
      <c r="F10"/>
      <c r="G10" s="48"/>
      <c r="H10" s="48"/>
      <c r="I10"/>
      <c r="K10" s="45" t="s">
        <v>10</v>
      </c>
      <c r="L10" s="46">
        <v>217424181.49000001</v>
      </c>
      <c r="M10" s="46">
        <v>57847125.960000001</v>
      </c>
      <c r="N10" s="47">
        <v>3131053.01</v>
      </c>
      <c r="O10" s="46">
        <v>29123258.23</v>
      </c>
      <c r="P10" s="46">
        <v>143359226.12</v>
      </c>
      <c r="Q10" s="46"/>
      <c r="R10" s="45"/>
      <c r="S10" s="47">
        <f t="shared" si="2"/>
        <v>233460663.31999999</v>
      </c>
    </row>
    <row r="11" spans="1:20" x14ac:dyDescent="0.2">
      <c r="A11" s="10" t="s">
        <v>11</v>
      </c>
      <c r="B11" s="15">
        <f t="shared" si="0"/>
        <v>228672127.80000001</v>
      </c>
      <c r="C11" s="15">
        <f t="shared" si="1"/>
        <v>212145921.17000002</v>
      </c>
      <c r="D11" s="12">
        <f>IF(SUM(B11-C11)=0," ",B11-C11)</f>
        <v>16526206.629999995</v>
      </c>
      <c r="E11" s="13">
        <f>IF(ISERR(D11/C11), " ",D11/C11)</f>
        <v>7.7900185583850853E-2</v>
      </c>
      <c r="F11"/>
      <c r="G11" s="48"/>
      <c r="H11"/>
      <c r="I11"/>
      <c r="K11" s="45" t="s">
        <v>11</v>
      </c>
      <c r="L11" s="46">
        <v>212145921.17000002</v>
      </c>
      <c r="M11" s="46">
        <v>56660617.670000002</v>
      </c>
      <c r="N11" s="47">
        <v>525434.15</v>
      </c>
      <c r="O11" s="46">
        <v>278566.36</v>
      </c>
      <c r="P11" s="46">
        <v>140418770.37</v>
      </c>
      <c r="Q11" s="46">
        <f>2541395.23+28247344.02</f>
        <v>30788739.25</v>
      </c>
      <c r="R11" s="50"/>
      <c r="S11" s="47">
        <f>SUM(M11:R11)</f>
        <v>228672127.80000001</v>
      </c>
    </row>
    <row r="12" spans="1:20" x14ac:dyDescent="0.2">
      <c r="A12" s="10" t="s">
        <v>12</v>
      </c>
      <c r="B12" s="15">
        <f t="shared" si="0"/>
        <v>333138006.83999997</v>
      </c>
      <c r="C12" s="15">
        <f t="shared" si="1"/>
        <v>332885862.75</v>
      </c>
      <c r="D12" s="12">
        <f t="shared" ref="D12:D19" si="3">IF(SUM(B12-C12)=0," ",B12-C12)</f>
        <v>252144.08999997377</v>
      </c>
      <c r="E12" s="13">
        <f t="shared" ref="E12:E19" si="4">IF(ISERR(D12/C12), " ",D12/C12)</f>
        <v>7.5744907854298407E-4</v>
      </c>
      <c r="F12"/>
      <c r="G12"/>
      <c r="H12"/>
      <c r="I12"/>
      <c r="K12" s="45" t="s">
        <v>12</v>
      </c>
      <c r="L12" s="46">
        <v>332885862.75</v>
      </c>
      <c r="M12" s="46">
        <v>82544847.150000006</v>
      </c>
      <c r="N12" s="47">
        <v>1926455.15</v>
      </c>
      <c r="O12" s="46">
        <v>617747.48</v>
      </c>
      <c r="P12" s="46">
        <v>204566188.59999999</v>
      </c>
      <c r="Q12" s="46">
        <v>43482768.460000001</v>
      </c>
      <c r="R12" s="45"/>
      <c r="S12" s="47">
        <f>SUM(M12:R12)</f>
        <v>333138006.83999997</v>
      </c>
      <c r="T12" s="51"/>
    </row>
    <row r="13" spans="1:20" x14ac:dyDescent="0.2">
      <c r="A13" s="10" t="s">
        <v>13</v>
      </c>
      <c r="B13" s="15">
        <f t="shared" si="0"/>
        <v>218602468.75999999</v>
      </c>
      <c r="C13" s="15">
        <f t="shared" si="1"/>
        <v>208401959.25</v>
      </c>
      <c r="D13" s="12">
        <f t="shared" si="3"/>
        <v>10200509.50999999</v>
      </c>
      <c r="E13" s="13">
        <f t="shared" si="4"/>
        <v>4.8946322514000024E-2</v>
      </c>
      <c r="F13"/>
      <c r="G13"/>
      <c r="H13"/>
      <c r="I13"/>
      <c r="K13" s="45" t="s">
        <v>13</v>
      </c>
      <c r="L13" s="46">
        <v>208401959.25</v>
      </c>
      <c r="M13" s="46">
        <v>54165547.060000002</v>
      </c>
      <c r="N13" s="47">
        <v>369850.31</v>
      </c>
      <c r="O13" s="46">
        <v>267905.71999999997</v>
      </c>
      <c r="P13" s="46">
        <v>113799165.67</v>
      </c>
      <c r="Q13" s="46">
        <v>50000000</v>
      </c>
      <c r="R13" s="45"/>
      <c r="S13" s="47">
        <f t="shared" si="2"/>
        <v>218602468.75999999</v>
      </c>
      <c r="T13" s="48"/>
    </row>
    <row r="14" spans="1:20" x14ac:dyDescent="0.2">
      <c r="A14" s="10" t="s">
        <v>14</v>
      </c>
      <c r="B14" s="15">
        <f t="shared" si="0"/>
        <v>212127160.40000001</v>
      </c>
      <c r="C14" s="15">
        <f t="shared" si="1"/>
        <v>205204394.24000001</v>
      </c>
      <c r="D14" s="12">
        <f t="shared" si="3"/>
        <v>6922766.1599999964</v>
      </c>
      <c r="E14" s="13">
        <f t="shared" si="4"/>
        <v>3.3735954756911136E-2</v>
      </c>
      <c r="F14"/>
      <c r="G14"/>
      <c r="H14"/>
      <c r="I14"/>
      <c r="K14" s="45" t="s">
        <v>14</v>
      </c>
      <c r="L14" s="46">
        <v>205204394.24000001</v>
      </c>
      <c r="M14" s="46">
        <v>52561086.289999999</v>
      </c>
      <c r="N14" s="47">
        <v>324078.84999999998</v>
      </c>
      <c r="O14" s="46">
        <v>259931.56</v>
      </c>
      <c r="P14" s="46">
        <v>108982063.7</v>
      </c>
      <c r="Q14" s="46">
        <v>50000000</v>
      </c>
      <c r="R14" s="45"/>
      <c r="S14" s="47">
        <f t="shared" si="2"/>
        <v>212127160.40000001</v>
      </c>
    </row>
    <row r="15" spans="1:20" x14ac:dyDescent="0.2">
      <c r="A15" s="10" t="s">
        <v>15</v>
      </c>
      <c r="B15" s="15">
        <f t="shared" si="0"/>
        <v>295820552.99000001</v>
      </c>
      <c r="C15" s="15">
        <f t="shared" si="1"/>
        <v>279613068.23000002</v>
      </c>
      <c r="D15" s="12">
        <f>IF(SUM(B15-C15)=0," ",B15-C15)</f>
        <v>16207484.75999999</v>
      </c>
      <c r="E15" s="13">
        <f>IF(ISERR(D15/C15), " ",D15/C15)</f>
        <v>5.7963974511621448E-2</v>
      </c>
      <c r="F15"/>
      <c r="G15"/>
      <c r="H15"/>
      <c r="I15"/>
      <c r="K15" s="45" t="s">
        <v>15</v>
      </c>
      <c r="L15" s="46">
        <v>279613068.23000002</v>
      </c>
      <c r="M15" s="46">
        <v>73298724.269999996</v>
      </c>
      <c r="N15" s="47">
        <v>1425993.25</v>
      </c>
      <c r="O15" s="46">
        <v>369829.67</v>
      </c>
      <c r="P15" s="46">
        <v>170726005.80000001</v>
      </c>
      <c r="Q15" s="46">
        <v>50000000</v>
      </c>
      <c r="R15" s="45"/>
      <c r="S15" s="47">
        <f t="shared" si="2"/>
        <v>295820552.99000001</v>
      </c>
    </row>
    <row r="16" spans="1:20" x14ac:dyDescent="0.2">
      <c r="A16" s="10" t="s">
        <v>16</v>
      </c>
      <c r="B16" s="15">
        <f t="shared" si="0"/>
        <v>237369752.90000001</v>
      </c>
      <c r="C16" s="15">
        <f t="shared" si="1"/>
        <v>224031235.28</v>
      </c>
      <c r="D16" s="12">
        <f t="shared" si="3"/>
        <v>13338517.620000005</v>
      </c>
      <c r="E16" s="13">
        <f>IF(ISERR(D16/C16), " ",D16/C16)</f>
        <v>5.9538651399788881E-2</v>
      </c>
      <c r="F16"/>
      <c r="G16"/>
      <c r="H16"/>
      <c r="I16"/>
      <c r="K16" s="45" t="s">
        <v>64</v>
      </c>
      <c r="L16" s="46">
        <v>224031235.28</v>
      </c>
      <c r="M16" s="46">
        <v>58815721.859999999</v>
      </c>
      <c r="N16" s="47">
        <v>642084.47</v>
      </c>
      <c r="O16" s="46">
        <v>291019.24</v>
      </c>
      <c r="P16" s="46">
        <v>127620927.33</v>
      </c>
      <c r="Q16" s="46">
        <v>50000000</v>
      </c>
      <c r="R16" s="45"/>
      <c r="S16" s="47">
        <f t="shared" si="2"/>
        <v>237369752.90000001</v>
      </c>
    </row>
    <row r="17" spans="1:20" x14ac:dyDescent="0.2">
      <c r="A17" s="10" t="s">
        <v>17</v>
      </c>
      <c r="B17" s="15">
        <f t="shared" si="0"/>
        <v>300964809.36000001</v>
      </c>
      <c r="C17" s="15">
        <f t="shared" si="1"/>
        <v>271012250.14999998</v>
      </c>
      <c r="D17" s="12">
        <f t="shared" si="3"/>
        <v>29952559.210000038</v>
      </c>
      <c r="E17" s="13">
        <f t="shared" si="4"/>
        <v>0.11052105280636533</v>
      </c>
      <c r="F17"/>
      <c r="G17" s="48"/>
      <c r="H17"/>
      <c r="I17"/>
      <c r="K17" s="45" t="s">
        <v>17</v>
      </c>
      <c r="L17" s="46">
        <v>271012250.14999998</v>
      </c>
      <c r="M17" s="46">
        <v>74573373.469999999</v>
      </c>
      <c r="N17" s="47">
        <v>4036380.51</v>
      </c>
      <c r="O17" s="46">
        <v>37544123</v>
      </c>
      <c r="P17" s="46">
        <v>184810932.38</v>
      </c>
      <c r="Q17" s="46">
        <v>0</v>
      </c>
      <c r="R17" s="45"/>
      <c r="S17" s="47">
        <f t="shared" si="2"/>
        <v>300964809.36000001</v>
      </c>
    </row>
    <row r="18" spans="1:20" x14ac:dyDescent="0.2">
      <c r="A18" s="10" t="s">
        <v>18</v>
      </c>
      <c r="B18" s="15">
        <f t="shared" si="0"/>
        <v>250747360.54000002</v>
      </c>
      <c r="C18" s="15">
        <f t="shared" si="1"/>
        <v>246280558.60999998</v>
      </c>
      <c r="D18" s="12">
        <f t="shared" si="3"/>
        <v>4466801.930000037</v>
      </c>
      <c r="E18" s="13">
        <f t="shared" si="4"/>
        <v>1.813704644495908E-2</v>
      </c>
      <c r="F18"/>
      <c r="G18" s="51"/>
      <c r="H18"/>
      <c r="I18"/>
      <c r="K18" s="45" t="s">
        <v>18</v>
      </c>
      <c r="L18" s="46">
        <v>246280558.60999998</v>
      </c>
      <c r="M18" s="46">
        <v>24459884.829999998</v>
      </c>
      <c r="N18" s="47">
        <v>1323924.8600000001</v>
      </c>
      <c r="O18" s="46">
        <v>12314382.98</v>
      </c>
      <c r="P18" s="46">
        <v>60617538.039999999</v>
      </c>
      <c r="Q18" s="46"/>
      <c r="R18" s="46">
        <v>152031629.83000001</v>
      </c>
      <c r="S18" s="47">
        <f t="shared" si="2"/>
        <v>250747360.54000002</v>
      </c>
    </row>
    <row r="19" spans="1:20" hidden="1" x14ac:dyDescent="0.2">
      <c r="A19" s="10" t="s">
        <v>65</v>
      </c>
      <c r="B19" s="15"/>
      <c r="C19" s="15"/>
      <c r="D19" s="12" t="str">
        <f t="shared" si="3"/>
        <v xml:space="preserve"> </v>
      </c>
      <c r="E19" s="13" t="str">
        <f t="shared" si="4"/>
        <v xml:space="preserve"> </v>
      </c>
      <c r="F19"/>
      <c r="G19" s="48"/>
      <c r="H19"/>
      <c r="I19"/>
      <c r="K19" s="52"/>
      <c r="L19" s="53"/>
      <c r="M19" s="53"/>
      <c r="N19" s="54"/>
      <c r="O19" s="53"/>
      <c r="P19" s="53"/>
      <c r="Q19" s="53"/>
      <c r="R19" s="52"/>
      <c r="S19" s="54"/>
    </row>
    <row r="20" spans="1:20" hidden="1" x14ac:dyDescent="0.2">
      <c r="A20" s="55"/>
      <c r="B20" s="15"/>
      <c r="C20" s="15"/>
      <c r="D20" s="12" t="str">
        <f>IF(SUM(B20-C20)=0," ",B20-C20)</f>
        <v xml:space="preserve"> </v>
      </c>
      <c r="E20" s="13" t="str">
        <f>IF(ISERR(D20/C20), " ",D20/C20)</f>
        <v xml:space="preserve"> </v>
      </c>
      <c r="F20" s="48"/>
      <c r="G20" s="48"/>
      <c r="H20"/>
      <c r="I20"/>
      <c r="K20" s="56" t="s">
        <v>63</v>
      </c>
      <c r="L20" s="46">
        <f>SUM(L6:L19)</f>
        <v>2909064508.1900005</v>
      </c>
      <c r="M20" s="46">
        <f t="shared" ref="M20:S20" si="5">SUM(M7:M19)</f>
        <v>721764244.67000008</v>
      </c>
      <c r="N20" s="46">
        <f t="shared" si="5"/>
        <v>22774629.979999997</v>
      </c>
      <c r="O20" s="46">
        <f t="shared" si="5"/>
        <v>172288242.28</v>
      </c>
      <c r="P20" s="46">
        <f t="shared" si="5"/>
        <v>1717967624.2799997</v>
      </c>
      <c r="Q20" s="46">
        <f t="shared" si="5"/>
        <v>274271507.71000004</v>
      </c>
      <c r="R20" s="46">
        <f t="shared" si="5"/>
        <v>152031629.83000001</v>
      </c>
      <c r="S20" s="46">
        <f t="shared" si="5"/>
        <v>3061097878.75</v>
      </c>
    </row>
    <row r="21" spans="1:20" ht="13.5" thickBot="1" x14ac:dyDescent="0.25">
      <c r="A21" s="20" t="s">
        <v>19</v>
      </c>
      <c r="B21" s="22">
        <f>SUM(B7:B20)</f>
        <v>3061097878.75</v>
      </c>
      <c r="C21" s="22">
        <f>SUM(C7:C20)</f>
        <v>2909064508.1900005</v>
      </c>
      <c r="D21" s="22">
        <f>SUM(D7:D20)</f>
        <v>152033370.56000009</v>
      </c>
      <c r="E21" s="23">
        <f>IF(ISERR(D21/C21), " ",D21/C21)</f>
        <v>5.2261945423339611E-2</v>
      </c>
      <c r="F21" s="48"/>
      <c r="G21" s="57"/>
      <c r="H21"/>
      <c r="I21"/>
      <c r="K21" s="45"/>
    </row>
    <row r="22" spans="1:20" x14ac:dyDescent="0.2">
      <c r="A22" s="58" t="s">
        <v>66</v>
      </c>
      <c r="B22" s="59">
        <f>L20</f>
        <v>2909064508.1900005</v>
      </c>
      <c r="C22" s="59">
        <f>+'[1]Realignment 12-13 (2)'!B22</f>
        <v>2717908013.6199999</v>
      </c>
      <c r="D22" s="59">
        <f>B22-C22</f>
        <v>191156494.57000065</v>
      </c>
      <c r="E22" s="60">
        <f>D22/C22</f>
        <v>7.0332216400288708E-2</v>
      </c>
      <c r="F22" s="48"/>
      <c r="G22" s="61"/>
      <c r="H22"/>
      <c r="I22"/>
      <c r="M22" s="46" t="s">
        <v>57</v>
      </c>
      <c r="N22" s="45" t="s">
        <v>58</v>
      </c>
      <c r="O22" s="45" t="s">
        <v>59</v>
      </c>
      <c r="P22" s="45" t="s">
        <v>60</v>
      </c>
      <c r="Q22" s="45" t="s">
        <v>61</v>
      </c>
      <c r="R22" s="45" t="s">
        <v>62</v>
      </c>
    </row>
    <row r="23" spans="1:20" x14ac:dyDescent="0.2">
      <c r="A23" s="58" t="s">
        <v>67</v>
      </c>
      <c r="B23" s="60">
        <f>B21/B22</f>
        <v>1.0522619454233393</v>
      </c>
      <c r="C23" s="60">
        <f>C21/C22</f>
        <v>1.0703322164002886</v>
      </c>
      <c r="D23" s="59"/>
      <c r="E23" s="60"/>
      <c r="F23" s="48"/>
      <c r="G23" s="48"/>
      <c r="H23"/>
      <c r="I23"/>
      <c r="L23" s="45" t="s">
        <v>68</v>
      </c>
      <c r="M23" s="56">
        <f>M20/S20</f>
        <v>0.23578607194511947</v>
      </c>
      <c r="N23" s="56">
        <f>N20/S20</f>
        <v>7.4400201764538224E-3</v>
      </c>
      <c r="O23" s="56">
        <f>O20/S20</f>
        <v>5.6283153660657836E-2</v>
      </c>
      <c r="P23" s="56">
        <f>P20/S20</f>
        <v>0.56122596935107882</v>
      </c>
      <c r="Q23" s="56"/>
      <c r="R23" s="56">
        <f>R20/S20</f>
        <v>4.9665719899189296E-2</v>
      </c>
      <c r="S23" s="56">
        <f t="shared" ref="S23:S35" si="6">SUM(M23:R23)</f>
        <v>0.9104009350324993</v>
      </c>
    </row>
    <row r="24" spans="1:20" ht="12" customHeight="1" x14ac:dyDescent="0.2">
      <c r="A24" s="62"/>
      <c r="B24" s="63"/>
      <c r="C24" s="63"/>
      <c r="D24" s="63"/>
      <c r="E24" s="63"/>
      <c r="G24" s="64"/>
      <c r="L24" s="65" t="s">
        <v>69</v>
      </c>
      <c r="M24" s="66">
        <f>M26-M23</f>
        <v>1.9024688054306849E-2</v>
      </c>
      <c r="N24" s="66">
        <f>N26-N23</f>
        <v>3.717509812965928E-3</v>
      </c>
      <c r="O24" s="66">
        <f>O26-O23</f>
        <v>6.1966326338752625E-2</v>
      </c>
      <c r="P24" s="66">
        <f>P26-P23</f>
        <v>5.4556260660664657E-2</v>
      </c>
      <c r="Q24" s="66"/>
      <c r="R24" s="67"/>
      <c r="S24" s="66">
        <f t="shared" si="6"/>
        <v>0.13926478486669006</v>
      </c>
    </row>
    <row r="25" spans="1:20" hidden="1" x14ac:dyDescent="0.2">
      <c r="A25" s="62"/>
      <c r="B25" s="63"/>
      <c r="C25" s="63"/>
      <c r="D25" s="63"/>
      <c r="E25" s="63"/>
      <c r="G25" s="64"/>
      <c r="L25" s="45" t="s">
        <v>70</v>
      </c>
      <c r="M25" s="56">
        <f t="shared" ref="M25:Q36" si="7">M7/$S7</f>
        <v>0.2548107599946981</v>
      </c>
      <c r="N25" s="56">
        <f t="shared" si="7"/>
        <v>1.1157530009401419E-2</v>
      </c>
      <c r="O25" s="56">
        <f t="shared" si="7"/>
        <v>0.11824948000116779</v>
      </c>
      <c r="P25" s="56">
        <f t="shared" si="7"/>
        <v>0.61578222999473264</v>
      </c>
      <c r="Q25" s="56"/>
      <c r="S25" s="56">
        <f t="shared" si="6"/>
        <v>1</v>
      </c>
    </row>
    <row r="26" spans="1:20" hidden="1" x14ac:dyDescent="0.2">
      <c r="A26" s="62"/>
      <c r="B26" s="63"/>
      <c r="C26" s="63"/>
      <c r="D26" s="63"/>
      <c r="E26" s="63"/>
      <c r="G26" s="64"/>
      <c r="K26" s="48"/>
      <c r="L26" s="45" t="s">
        <v>71</v>
      </c>
      <c r="M26" s="56">
        <f t="shared" si="7"/>
        <v>0.25481075999942632</v>
      </c>
      <c r="N26" s="56">
        <f t="shared" si="7"/>
        <v>1.115752998941975E-2</v>
      </c>
      <c r="O26" s="56">
        <f t="shared" si="7"/>
        <v>0.11824947999941046</v>
      </c>
      <c r="P26" s="56">
        <f t="shared" si="7"/>
        <v>0.61578223001174348</v>
      </c>
      <c r="Q26" s="56"/>
      <c r="S26" s="56">
        <f t="shared" si="6"/>
        <v>1</v>
      </c>
    </row>
    <row r="27" spans="1:20" hidden="1" x14ac:dyDescent="0.2">
      <c r="A27" s="62"/>
      <c r="B27" s="63"/>
      <c r="C27" s="63"/>
      <c r="D27" s="63"/>
      <c r="E27" s="63"/>
      <c r="G27" s="68" t="s">
        <v>72</v>
      </c>
      <c r="L27" s="45" t="s">
        <v>73</v>
      </c>
      <c r="M27" s="56">
        <f t="shared" si="7"/>
        <v>0.23914742000302727</v>
      </c>
      <c r="N27" s="56">
        <f t="shared" si="7"/>
        <v>1.3691879998909319E-2</v>
      </c>
      <c r="O27" s="56">
        <f t="shared" si="7"/>
        <v>0.12735400998814464</v>
      </c>
      <c r="P27" s="56">
        <f t="shared" si="7"/>
        <v>0.61980669000991861</v>
      </c>
      <c r="Q27" s="56"/>
      <c r="S27" s="56">
        <f t="shared" si="6"/>
        <v>0.99999999999999989</v>
      </c>
    </row>
    <row r="28" spans="1:20" hidden="1" x14ac:dyDescent="0.2">
      <c r="A28" s="62"/>
      <c r="B28" s="63"/>
      <c r="C28" s="63"/>
      <c r="D28" s="63"/>
      <c r="E28" s="63"/>
      <c r="F28" s="69"/>
      <c r="G28" s="64" t="s">
        <v>74</v>
      </c>
      <c r="H28" s="64" t="e">
        <f>#REF!</f>
        <v>#REF!</v>
      </c>
      <c r="I28" s="70" t="e">
        <f>$E$28*H28</f>
        <v>#REF!</v>
      </c>
      <c r="L28" s="45" t="s">
        <v>75</v>
      </c>
      <c r="M28" s="56">
        <f t="shared" si="7"/>
        <v>0.2477810400149085</v>
      </c>
      <c r="N28" s="56">
        <f t="shared" si="7"/>
        <v>1.3411479970432219E-2</v>
      </c>
      <c r="O28" s="56">
        <f t="shared" si="7"/>
        <v>0.12474589001780277</v>
      </c>
      <c r="P28" s="56">
        <f t="shared" si="7"/>
        <v>0.61406158999685656</v>
      </c>
      <c r="Q28" s="56"/>
      <c r="S28" s="56">
        <f t="shared" si="6"/>
        <v>1</v>
      </c>
    </row>
    <row r="29" spans="1:20" hidden="1" x14ac:dyDescent="0.2">
      <c r="A29" s="62"/>
      <c r="B29" s="63"/>
      <c r="C29" s="63"/>
      <c r="D29" s="63"/>
      <c r="E29" s="63"/>
      <c r="G29" s="64" t="s">
        <v>76</v>
      </c>
      <c r="H29" s="64" t="e">
        <f>#REF!</f>
        <v>#REF!</v>
      </c>
      <c r="I29" s="70" t="e">
        <f>$E$28*H29</f>
        <v>#REF!</v>
      </c>
      <c r="L29" s="45" t="s">
        <v>77</v>
      </c>
      <c r="M29" s="56">
        <f t="shared" si="7"/>
        <v>0.2477810401080284</v>
      </c>
      <c r="N29" s="56">
        <f t="shared" si="7"/>
        <v>2.2977621061870401E-3</v>
      </c>
      <c r="O29" s="56">
        <f t="shared" si="7"/>
        <v>1.2181911397773767E-3</v>
      </c>
      <c r="P29" s="56">
        <f t="shared" si="7"/>
        <v>0.61406158993199345</v>
      </c>
      <c r="Q29" s="56">
        <f t="shared" si="7"/>
        <v>0.1346414167140137</v>
      </c>
      <c r="S29" s="56">
        <f t="shared" si="6"/>
        <v>1</v>
      </c>
    </row>
    <row r="30" spans="1:20" hidden="1" x14ac:dyDescent="0.2">
      <c r="A30" s="62"/>
      <c r="B30" s="63"/>
      <c r="C30" s="63"/>
      <c r="D30" s="63"/>
      <c r="E30" s="63"/>
      <c r="G30" s="64" t="s">
        <v>78</v>
      </c>
      <c r="H30" s="64" t="e">
        <f>#REF!</f>
        <v>#REF!</v>
      </c>
      <c r="I30" s="70" t="e">
        <f>$E$28*H30</f>
        <v>#REF!</v>
      </c>
      <c r="L30" s="45" t="s">
        <v>79</v>
      </c>
      <c r="M30" s="56">
        <f t="shared" si="7"/>
        <v>0.24777973529044006</v>
      </c>
      <c r="N30" s="56">
        <f t="shared" si="7"/>
        <v>5.7827540251966531E-3</v>
      </c>
      <c r="O30" s="56">
        <f t="shared" si="7"/>
        <v>1.8543290387658851E-3</v>
      </c>
      <c r="P30" s="56">
        <f t="shared" si="7"/>
        <v>0.61405839141689211</v>
      </c>
      <c r="Q30" s="56">
        <f t="shared" si="7"/>
        <v>0.13052479022870533</v>
      </c>
      <c r="S30" s="56">
        <f t="shared" si="6"/>
        <v>1</v>
      </c>
    </row>
    <row r="31" spans="1:20" hidden="1" x14ac:dyDescent="0.2">
      <c r="A31" s="71"/>
      <c r="B31" s="72"/>
      <c r="C31" s="72"/>
      <c r="D31" s="72"/>
      <c r="E31" s="72"/>
      <c r="G31" s="73" t="s">
        <v>80</v>
      </c>
      <c r="H31" s="64" t="e">
        <f>SUM(H28:H30)</f>
        <v>#REF!</v>
      </c>
      <c r="I31" s="64" t="e">
        <f>SUM(I28:I30)</f>
        <v>#REF!</v>
      </c>
      <c r="L31" s="45" t="s">
        <v>81</v>
      </c>
      <c r="M31" s="56">
        <f t="shared" si="7"/>
        <v>0.24778104001866261</v>
      </c>
      <c r="N31" s="56">
        <f t="shared" si="7"/>
        <v>1.6918853300145137E-3</v>
      </c>
      <c r="O31" s="56">
        <f t="shared" si="7"/>
        <v>1.2255384009140775E-3</v>
      </c>
      <c r="P31" s="56">
        <f t="shared" si="7"/>
        <v>0.52057584855063188</v>
      </c>
      <c r="Q31" s="56">
        <f t="shared" si="7"/>
        <v>0.22872568769977694</v>
      </c>
      <c r="S31" s="56">
        <f t="shared" si="6"/>
        <v>1</v>
      </c>
    </row>
    <row r="32" spans="1:20" hidden="1" x14ac:dyDescent="0.2">
      <c r="A32" s="74"/>
      <c r="B32" s="75"/>
      <c r="C32" s="75"/>
      <c r="D32" s="75"/>
      <c r="E32" s="75"/>
      <c r="G32" s="73"/>
      <c r="H32" s="64"/>
      <c r="I32" s="64"/>
      <c r="L32" s="45" t="s">
        <v>82</v>
      </c>
      <c r="M32" s="56">
        <f t="shared" si="7"/>
        <v>0.24778102997696091</v>
      </c>
      <c r="N32" s="56">
        <f t="shared" si="7"/>
        <v>1.5277574516572841E-3</v>
      </c>
      <c r="O32" s="56">
        <f t="shared" si="7"/>
        <v>1.2253572786712322E-3</v>
      </c>
      <c r="P32" s="56">
        <f t="shared" si="7"/>
        <v>0.51375817926613798</v>
      </c>
      <c r="Q32" s="56">
        <f t="shared" si="7"/>
        <v>0.23570767602657258</v>
      </c>
      <c r="S32" s="56">
        <f t="shared" si="6"/>
        <v>1</v>
      </c>
    </row>
    <row r="33" spans="1:20" hidden="1" x14ac:dyDescent="0.2">
      <c r="A33" s="74"/>
      <c r="B33" s="76"/>
      <c r="C33" s="77"/>
      <c r="D33" s="77"/>
      <c r="E33" s="77"/>
      <c r="F33" s="64"/>
      <c r="G33" s="78"/>
      <c r="K33" s="37"/>
      <c r="L33" s="45" t="s">
        <v>15</v>
      </c>
      <c r="M33" s="56">
        <f t="shared" si="7"/>
        <v>0.24778103998905648</v>
      </c>
      <c r="N33" s="56">
        <f t="shared" si="7"/>
        <v>4.8204671230136081E-3</v>
      </c>
      <c r="O33" s="56">
        <f t="shared" si="7"/>
        <v>1.2501824713055073E-3</v>
      </c>
      <c r="P33" s="56">
        <f t="shared" si="7"/>
        <v>0.57712692398952847</v>
      </c>
      <c r="Q33" s="56">
        <f>Q15/$S15</f>
        <v>0.16902138642709594</v>
      </c>
      <c r="S33" s="56">
        <f t="shared" si="6"/>
        <v>1</v>
      </c>
    </row>
    <row r="34" spans="1:20" hidden="1" x14ac:dyDescent="0.2">
      <c r="A34" s="74"/>
      <c r="B34" s="76"/>
      <c r="C34" s="77"/>
      <c r="D34" s="77"/>
      <c r="E34" s="77"/>
      <c r="F34" s="64"/>
      <c r="G34" s="78"/>
      <c r="K34" s="37"/>
      <c r="L34" s="45" t="s">
        <v>83</v>
      </c>
      <c r="M34" s="56">
        <f t="shared" si="7"/>
        <v>0.24778102998143198</v>
      </c>
      <c r="N34" s="56">
        <f t="shared" si="7"/>
        <v>2.7049970021685941E-3</v>
      </c>
      <c r="O34" s="56">
        <f t="shared" si="7"/>
        <v>1.2260165267248756E-3</v>
      </c>
      <c r="P34" s="56">
        <f t="shared" si="7"/>
        <v>0.5376461228561189</v>
      </c>
      <c r="Q34" s="56">
        <f>Q16/$S16</f>
        <v>0.2106418336335556</v>
      </c>
      <c r="S34" s="56">
        <f t="shared" si="6"/>
        <v>1</v>
      </c>
    </row>
    <row r="35" spans="1:20" hidden="1" x14ac:dyDescent="0.2">
      <c r="A35" s="74"/>
      <c r="B35" s="76"/>
      <c r="C35" s="77"/>
      <c r="D35" s="77"/>
      <c r="E35" s="77"/>
      <c r="F35" s="64"/>
      <c r="G35" s="78"/>
      <c r="K35" s="37"/>
      <c r="L35" s="45" t="s">
        <v>84</v>
      </c>
      <c r="M35" s="56">
        <f>M17/$S17</f>
        <v>0.24778104001122211</v>
      </c>
      <c r="N35" s="56">
        <f t="shared" si="7"/>
        <v>1.3411469994061233E-2</v>
      </c>
      <c r="O35" s="56">
        <f t="shared" si="7"/>
        <v>0.1247458899923794</v>
      </c>
      <c r="P35" s="56">
        <f t="shared" si="7"/>
        <v>0.61406160000233723</v>
      </c>
      <c r="Q35" s="56">
        <f>Q17/$S17</f>
        <v>0</v>
      </c>
      <c r="S35" s="56">
        <f t="shared" si="6"/>
        <v>1</v>
      </c>
    </row>
    <row r="36" spans="1:20" hidden="1" x14ac:dyDescent="0.2">
      <c r="A36" s="74"/>
      <c r="B36" s="76"/>
      <c r="C36" s="77"/>
      <c r="D36" s="77"/>
      <c r="E36" s="77"/>
      <c r="F36" s="64"/>
      <c r="G36" s="78"/>
      <c r="K36" s="37"/>
      <c r="L36" s="45" t="s">
        <v>85</v>
      </c>
      <c r="M36" s="56">
        <f>M18/$S18</f>
        <v>9.7547925439071884E-2</v>
      </c>
      <c r="N36" s="56">
        <f t="shared" si="7"/>
        <v>5.2799154381878467E-3</v>
      </c>
      <c r="O36" s="56">
        <f t="shared" si="7"/>
        <v>4.9110718268300858E-2</v>
      </c>
      <c r="P36" s="56">
        <f t="shared" si="7"/>
        <v>0.24174746210471115</v>
      </c>
      <c r="Q36" s="56">
        <f>Q18/$S18</f>
        <v>0</v>
      </c>
      <c r="S36" s="56">
        <f>SUM(M36:R36)</f>
        <v>0.39368602125027174</v>
      </c>
    </row>
    <row r="37" spans="1:20" hidden="1" x14ac:dyDescent="0.2">
      <c r="A37" s="74"/>
      <c r="B37" s="76"/>
      <c r="C37" s="77"/>
      <c r="D37" s="77"/>
      <c r="E37" s="77"/>
      <c r="F37" s="64"/>
      <c r="G37" s="78"/>
      <c r="K37" s="37"/>
      <c r="L37" s="79"/>
      <c r="M37" s="56"/>
      <c r="N37" s="56"/>
      <c r="O37" s="56"/>
      <c r="P37" s="56"/>
      <c r="Q37" s="56"/>
    </row>
    <row r="38" spans="1:20" ht="16.5" thickBot="1" x14ac:dyDescent="0.3">
      <c r="A38" s="41" t="s">
        <v>86</v>
      </c>
      <c r="F38" s="64"/>
      <c r="G38" s="80"/>
      <c r="K38" s="81"/>
      <c r="L38" s="79"/>
      <c r="M38" s="37"/>
      <c r="N38" s="37"/>
      <c r="O38" s="37"/>
      <c r="P38" s="37"/>
      <c r="Q38" s="37"/>
      <c r="R38" s="37"/>
      <c r="S38" s="37"/>
    </row>
    <row r="39" spans="1:20" s="2" customFormat="1" x14ac:dyDescent="0.2">
      <c r="A39" s="97" t="s">
        <v>54</v>
      </c>
      <c r="B39" s="98"/>
      <c r="C39" s="98"/>
      <c r="D39" s="98"/>
      <c r="E39" s="99"/>
      <c r="F39" s="51"/>
      <c r="G39" s="51"/>
      <c r="H39"/>
      <c r="I39"/>
      <c r="K39" s="52"/>
      <c r="L39" s="52" t="s">
        <v>87</v>
      </c>
      <c r="M39" s="52"/>
      <c r="N39" s="52"/>
      <c r="O39" s="52"/>
      <c r="P39" s="52"/>
      <c r="Q39" s="52"/>
      <c r="R39" s="52"/>
      <c r="S39" s="52"/>
    </row>
    <row r="40" spans="1:20" x14ac:dyDescent="0.2">
      <c r="A40" s="3" t="s">
        <v>2</v>
      </c>
      <c r="B40" s="5" t="str">
        <f>B6</f>
        <v>2013-14</v>
      </c>
      <c r="C40" s="5" t="str">
        <f>C6</f>
        <v>2012-13</v>
      </c>
      <c r="D40" s="5" t="s">
        <v>5</v>
      </c>
      <c r="E40" s="6" t="s">
        <v>6</v>
      </c>
      <c r="F40"/>
      <c r="G40" s="82"/>
      <c r="H40"/>
      <c r="I40"/>
      <c r="K40" s="45"/>
      <c r="L40" s="45" t="s">
        <v>55</v>
      </c>
      <c r="M40" s="46" t="s">
        <v>57</v>
      </c>
      <c r="N40" s="45" t="s">
        <v>58</v>
      </c>
      <c r="O40" s="45" t="s">
        <v>59</v>
      </c>
      <c r="P40" s="45" t="s">
        <v>60</v>
      </c>
      <c r="Q40" s="45" t="s">
        <v>61</v>
      </c>
      <c r="R40" s="45" t="s">
        <v>62</v>
      </c>
      <c r="S40" s="45" t="s">
        <v>63</v>
      </c>
    </row>
    <row r="41" spans="1:20" x14ac:dyDescent="0.2">
      <c r="A41" s="55" t="s">
        <v>18</v>
      </c>
      <c r="B41" s="12">
        <f t="shared" ref="B41:B46" si="8">S41</f>
        <v>140602278.42000002</v>
      </c>
      <c r="C41" s="12">
        <f t="shared" ref="C41:C52" si="9">L41</f>
        <v>137464370.86999997</v>
      </c>
      <c r="D41" s="12">
        <f t="shared" ref="D41:D54" si="10">IF(SUM(B41-C41)=0," ",B41-C41)</f>
        <v>3137907.5500000417</v>
      </c>
      <c r="E41" s="13">
        <f t="shared" ref="E41:E54" si="11">IF(ISERR(D41/C41), " ",D41/C41)</f>
        <v>2.2827060787755399E-2</v>
      </c>
      <c r="F41" s="83"/>
      <c r="G41" s="84"/>
      <c r="H41"/>
      <c r="I41"/>
      <c r="K41" s="45" t="s">
        <v>18</v>
      </c>
      <c r="L41" s="46">
        <v>137464370.86999997</v>
      </c>
      <c r="M41" s="46">
        <v>30804301.5</v>
      </c>
      <c r="N41" s="46">
        <v>10192520.68</v>
      </c>
      <c r="O41" s="46">
        <v>94263739.469999999</v>
      </c>
      <c r="P41" s="46">
        <v>5341716.7699999996</v>
      </c>
      <c r="Q41" s="46"/>
      <c r="R41" s="46"/>
      <c r="S41" s="47">
        <f t="shared" ref="S41:S52" si="12">SUM(M41:R41)</f>
        <v>140602278.42000002</v>
      </c>
    </row>
    <row r="42" spans="1:20" x14ac:dyDescent="0.2">
      <c r="A42" s="10" t="s">
        <v>7</v>
      </c>
      <c r="B42" s="12">
        <f t="shared" si="8"/>
        <v>170380755.27999997</v>
      </c>
      <c r="C42" s="12">
        <f t="shared" si="9"/>
        <v>141542509.73000002</v>
      </c>
      <c r="D42" s="15">
        <f t="shared" si="10"/>
        <v>28838245.549999952</v>
      </c>
      <c r="E42" s="13">
        <f t="shared" si="11"/>
        <v>0.20374264667915287</v>
      </c>
      <c r="F42" s="83"/>
      <c r="G42" s="85"/>
      <c r="H42"/>
      <c r="I42"/>
      <c r="K42" s="45" t="s">
        <v>7</v>
      </c>
      <c r="L42" s="46">
        <v>141542509.73000002</v>
      </c>
      <c r="M42" s="46">
        <v>37328414.689999998</v>
      </c>
      <c r="N42" s="47">
        <v>12351217.859999999</v>
      </c>
      <c r="O42" s="46">
        <v>114228071.59999999</v>
      </c>
      <c r="P42" s="46">
        <v>6473051.1299999999</v>
      </c>
      <c r="Q42" s="46"/>
      <c r="R42" s="46">
        <v>0</v>
      </c>
      <c r="S42" s="47">
        <f t="shared" si="12"/>
        <v>170380755.27999997</v>
      </c>
    </row>
    <row r="43" spans="1:20" x14ac:dyDescent="0.2">
      <c r="A43" s="10" t="s">
        <v>8</v>
      </c>
      <c r="B43" s="12">
        <f t="shared" si="8"/>
        <v>132290121.33</v>
      </c>
      <c r="C43" s="12">
        <f t="shared" si="9"/>
        <v>114951768.90000001</v>
      </c>
      <c r="D43" s="15">
        <f>IF(SUM(B43-C43)=0," ",B43-C43)</f>
        <v>17338352.429999992</v>
      </c>
      <c r="E43" s="13">
        <f>IF(ISERR(D43/C43), " ",D43/C43)</f>
        <v>0.15083154087940262</v>
      </c>
      <c r="F43" s="83"/>
      <c r="G43" s="84"/>
      <c r="H43"/>
      <c r="I43"/>
      <c r="K43" s="45" t="s">
        <v>8</v>
      </c>
      <c r="L43" s="46">
        <v>114951768.90000001</v>
      </c>
      <c r="M43" s="46">
        <v>28983205.879999999</v>
      </c>
      <c r="N43" s="47">
        <v>9589956.9499999993</v>
      </c>
      <c r="O43" s="46">
        <v>88691034.540000007</v>
      </c>
      <c r="P43" s="46">
        <v>5025923.96</v>
      </c>
      <c r="Q43" s="46"/>
      <c r="R43" s="46"/>
      <c r="S43" s="47">
        <f t="shared" si="12"/>
        <v>132290121.33</v>
      </c>
    </row>
    <row r="44" spans="1:20" x14ac:dyDescent="0.2">
      <c r="A44" s="10" t="s">
        <v>9</v>
      </c>
      <c r="B44" s="12">
        <f t="shared" si="8"/>
        <v>124223810.76000001</v>
      </c>
      <c r="C44" s="12">
        <f t="shared" si="9"/>
        <v>117307571.72</v>
      </c>
      <c r="D44" s="15">
        <f>IF(SUM(B44-C44)=0," ",B44-C44)</f>
        <v>6916239.0400000066</v>
      </c>
      <c r="E44" s="13">
        <f t="shared" si="11"/>
        <v>5.8958163898476156E-2</v>
      </c>
      <c r="F44" s="83"/>
      <c r="G44"/>
      <c r="H44"/>
      <c r="I44"/>
      <c r="K44" s="45" t="s">
        <v>9</v>
      </c>
      <c r="L44" s="46">
        <v>117307571.72</v>
      </c>
      <c r="M44" s="46">
        <v>25159986.280000001</v>
      </c>
      <c r="N44" s="47">
        <v>9698836.1400000006</v>
      </c>
      <c r="O44" s="46">
        <v>83977380.549999997</v>
      </c>
      <c r="P44" s="46">
        <v>5387607.79</v>
      </c>
      <c r="Q44" s="46"/>
      <c r="R44" s="46"/>
      <c r="S44" s="47">
        <f t="shared" si="12"/>
        <v>124223810.76000001</v>
      </c>
    </row>
    <row r="45" spans="1:20" x14ac:dyDescent="0.2">
      <c r="A45" s="10" t="s">
        <v>10</v>
      </c>
      <c r="B45" s="12">
        <f t="shared" si="8"/>
        <v>108677475.47</v>
      </c>
      <c r="C45" s="12">
        <f t="shared" si="9"/>
        <v>115074608.05999999</v>
      </c>
      <c r="D45" s="15">
        <f>IF(SUM(B45-C45)=0," ",B45-C45)</f>
        <v>-6397132.5899999887</v>
      </c>
      <c r="E45" s="13">
        <f t="shared" si="11"/>
        <v>-5.5591174263783016E-2</v>
      </c>
      <c r="F45" s="83"/>
      <c r="G45" s="48"/>
      <c r="H45"/>
      <c r="I45"/>
      <c r="K45" s="45" t="s">
        <v>10</v>
      </c>
      <c r="L45" s="46">
        <v>115074608.05999999</v>
      </c>
      <c r="M45" s="46">
        <v>25990900.75</v>
      </c>
      <c r="N45" s="47">
        <v>8095423.1900000004</v>
      </c>
      <c r="O45" s="46">
        <v>70094224.310000002</v>
      </c>
      <c r="P45" s="46">
        <v>4496927.22</v>
      </c>
      <c r="Q45" s="46"/>
      <c r="R45" s="46"/>
      <c r="S45" s="47">
        <f t="shared" si="12"/>
        <v>108677475.47</v>
      </c>
    </row>
    <row r="46" spans="1:20" x14ac:dyDescent="0.2">
      <c r="A46" s="10" t="s">
        <v>11</v>
      </c>
      <c r="B46" s="12">
        <f t="shared" si="8"/>
        <v>142054884.36000001</v>
      </c>
      <c r="C46" s="12">
        <f t="shared" si="9"/>
        <v>105983002.59999999</v>
      </c>
      <c r="D46" s="12">
        <f t="shared" si="10"/>
        <v>36071881.76000002</v>
      </c>
      <c r="E46" s="13">
        <f t="shared" si="11"/>
        <v>0.34035534826411895</v>
      </c>
      <c r="F46" s="83"/>
      <c r="G46" s="82"/>
      <c r="H46"/>
      <c r="I46"/>
      <c r="K46" s="45" t="s">
        <v>11</v>
      </c>
      <c r="L46" s="46">
        <v>105983002.59999999</v>
      </c>
      <c r="M46" s="46">
        <v>33906698.219999999</v>
      </c>
      <c r="N46" s="47">
        <v>10560966.140000001</v>
      </c>
      <c r="O46" s="46">
        <v>72509446.609999999</v>
      </c>
      <c r="P46" s="46">
        <v>5866512.6399999997</v>
      </c>
      <c r="Q46" s="46">
        <f>19045035.89+166224.86</f>
        <v>19211260.75</v>
      </c>
      <c r="R46" s="46"/>
      <c r="S46" s="47">
        <f t="shared" si="12"/>
        <v>142054884.36000001</v>
      </c>
    </row>
    <row r="47" spans="1:20" x14ac:dyDescent="0.2">
      <c r="A47" s="10" t="s">
        <v>12</v>
      </c>
      <c r="B47" s="12">
        <v>132556714.65000001</v>
      </c>
      <c r="C47" s="12">
        <f t="shared" si="9"/>
        <v>141135379.22</v>
      </c>
      <c r="D47" s="12">
        <f t="shared" si="10"/>
        <v>-8578664.5699999928</v>
      </c>
      <c r="E47" s="13">
        <f t="shared" si="11"/>
        <v>-6.0783232506341885E-2</v>
      </c>
      <c r="F47" s="83"/>
      <c r="G47"/>
      <c r="H47"/>
      <c r="I47"/>
      <c r="K47" s="45" t="s">
        <v>12</v>
      </c>
      <c r="L47" s="46">
        <v>141135379.22</v>
      </c>
      <c r="M47" s="46">
        <v>31716060.629999999</v>
      </c>
      <c r="N47" s="47">
        <v>9878645.8200000003</v>
      </c>
      <c r="O47" s="46">
        <v>78957286.099999994</v>
      </c>
      <c r="P47" s="46">
        <v>5487490.5599999996</v>
      </c>
      <c r="Q47" s="46">
        <v>6517231.54</v>
      </c>
      <c r="R47" s="46"/>
      <c r="S47" s="47">
        <f t="shared" si="12"/>
        <v>132556714.65000001</v>
      </c>
      <c r="T47" s="51"/>
    </row>
    <row r="48" spans="1:20" x14ac:dyDescent="0.2">
      <c r="A48" s="10" t="s">
        <v>13</v>
      </c>
      <c r="B48" s="12">
        <v>134351783.53</v>
      </c>
      <c r="C48" s="12">
        <f t="shared" si="9"/>
        <v>113880696.72999999</v>
      </c>
      <c r="D48" s="12">
        <f t="shared" si="10"/>
        <v>20471086.800000012</v>
      </c>
      <c r="E48" s="13">
        <f t="shared" si="11"/>
        <v>0.17975905827600405</v>
      </c>
      <c r="F48" s="83"/>
      <c r="G48"/>
      <c r="H48"/>
      <c r="I48"/>
      <c r="K48" s="45" t="s">
        <v>13</v>
      </c>
      <c r="L48" s="46">
        <v>113880696.72999999</v>
      </c>
      <c r="M48" s="46">
        <v>32145550.510000002</v>
      </c>
      <c r="N48" s="47">
        <v>10012419.630000001</v>
      </c>
      <c r="O48" s="46">
        <v>66195798.920000002</v>
      </c>
      <c r="P48" s="46">
        <v>25998014.469999999</v>
      </c>
      <c r="Q48" s="46"/>
      <c r="R48" s="46"/>
      <c r="S48" s="47">
        <f t="shared" si="12"/>
        <v>134351783.53</v>
      </c>
      <c r="T48" s="51"/>
    </row>
    <row r="49" spans="1:21" x14ac:dyDescent="0.2">
      <c r="A49" s="10" t="s">
        <v>14</v>
      </c>
      <c r="B49" s="12">
        <f>+S49</f>
        <v>139588713.16</v>
      </c>
      <c r="C49" s="12">
        <f t="shared" si="9"/>
        <v>136423223.99000001</v>
      </c>
      <c r="D49" s="12">
        <f t="shared" si="10"/>
        <v>3165489.1699999869</v>
      </c>
      <c r="E49" s="13">
        <f t="shared" si="11"/>
        <v>2.3203447898519251E-2</v>
      </c>
      <c r="F49" s="83"/>
      <c r="G49"/>
      <c r="H49"/>
      <c r="I49"/>
      <c r="K49" s="45" t="s">
        <v>14</v>
      </c>
      <c r="L49" s="46">
        <v>136423223.99000001</v>
      </c>
      <c r="M49" s="46">
        <v>33398126.719999999</v>
      </c>
      <c r="N49" s="47">
        <v>10402561.300000001</v>
      </c>
      <c r="O49" s="46">
        <v>68732426.980000004</v>
      </c>
      <c r="P49" s="46">
        <v>27055598.16</v>
      </c>
      <c r="Q49" s="46"/>
      <c r="R49" s="46"/>
      <c r="S49" s="47">
        <f t="shared" si="12"/>
        <v>139588713.16</v>
      </c>
    </row>
    <row r="50" spans="1:21" x14ac:dyDescent="0.2">
      <c r="A50" s="10" t="s">
        <v>15</v>
      </c>
      <c r="B50" s="12">
        <f>+S50</f>
        <v>134515559.09999999</v>
      </c>
      <c r="C50" s="12">
        <f t="shared" si="9"/>
        <v>123924657.58999999</v>
      </c>
      <c r="D50" s="12">
        <f>IF(SUM(B50-C50)=0," ",B50-C50)</f>
        <v>10590901.510000005</v>
      </c>
      <c r="E50" s="13">
        <f>IF(ISERR(D50/C50), " ",D50/C50)</f>
        <v>8.5462423023508358E-2</v>
      </c>
      <c r="F50" s="83"/>
      <c r="G50"/>
      <c r="H50"/>
      <c r="I50"/>
      <c r="K50" s="45" t="s">
        <v>15</v>
      </c>
      <c r="L50" s="46">
        <v>123924657.58999999</v>
      </c>
      <c r="M50" s="46">
        <v>32184319.109999999</v>
      </c>
      <c r="N50" s="47">
        <v>10024494.949999999</v>
      </c>
      <c r="O50" s="46">
        <v>75812199.099999994</v>
      </c>
      <c r="P50" s="46">
        <v>16494545.939999999</v>
      </c>
      <c r="Q50" s="46"/>
      <c r="R50" s="46"/>
      <c r="S50" s="47">
        <f t="shared" si="12"/>
        <v>134515559.09999999</v>
      </c>
    </row>
    <row r="51" spans="1:21" x14ac:dyDescent="0.2">
      <c r="A51" s="10" t="s">
        <v>16</v>
      </c>
      <c r="B51" s="12">
        <f>+S51</f>
        <v>132612467.63000003</v>
      </c>
      <c r="C51" s="12">
        <f t="shared" si="9"/>
        <v>131984910.38</v>
      </c>
      <c r="D51" s="12">
        <f t="shared" si="10"/>
        <v>627557.2500000298</v>
      </c>
      <c r="E51" s="13">
        <f t="shared" si="11"/>
        <v>4.754765133326371E-3</v>
      </c>
      <c r="F51" s="83"/>
      <c r="G51"/>
      <c r="H51"/>
      <c r="I51"/>
      <c r="K51" s="45" t="s">
        <v>64</v>
      </c>
      <c r="L51" s="46">
        <v>131984910.38</v>
      </c>
      <c r="M51" s="46">
        <v>22862759.120000001</v>
      </c>
      <c r="N51" s="47">
        <v>7121095.6900000004</v>
      </c>
      <c r="O51" s="46">
        <v>43477477.770000003</v>
      </c>
      <c r="P51" s="46">
        <v>22094418.960000001</v>
      </c>
      <c r="Q51" s="46"/>
      <c r="R51" s="46">
        <v>37056716.090000004</v>
      </c>
      <c r="S51" s="47">
        <f t="shared" si="12"/>
        <v>132612467.63000003</v>
      </c>
    </row>
    <row r="52" spans="1:21" x14ac:dyDescent="0.2">
      <c r="A52" s="10" t="s">
        <v>17</v>
      </c>
      <c r="B52" s="12">
        <f>+S52</f>
        <v>99762274.400000006</v>
      </c>
      <c r="C52" s="12">
        <f t="shared" si="9"/>
        <v>75128629.260000005</v>
      </c>
      <c r="D52" s="12">
        <f t="shared" si="10"/>
        <v>24633645.140000001</v>
      </c>
      <c r="E52" s="13">
        <f t="shared" si="11"/>
        <v>0.32788625830972601</v>
      </c>
      <c r="F52" s="83"/>
      <c r="G52"/>
      <c r="H52"/>
      <c r="I52"/>
      <c r="K52" s="45" t="s">
        <v>17</v>
      </c>
      <c r="L52" s="46">
        <v>75128629.260000005</v>
      </c>
      <c r="M52" s="46"/>
      <c r="N52" s="47"/>
      <c r="O52" s="46"/>
      <c r="P52" s="45"/>
      <c r="Q52" s="45"/>
      <c r="R52" s="46">
        <v>99762274.400000006</v>
      </c>
      <c r="S52" s="47">
        <f t="shared" si="12"/>
        <v>99762274.400000006</v>
      </c>
      <c r="U52" s="51"/>
    </row>
    <row r="53" spans="1:21" hidden="1" x14ac:dyDescent="0.2">
      <c r="A53" s="10" t="s">
        <v>65</v>
      </c>
      <c r="B53" s="12"/>
      <c r="C53" s="12"/>
      <c r="D53" s="12" t="str">
        <f t="shared" si="10"/>
        <v xml:space="preserve"> </v>
      </c>
      <c r="E53" s="13" t="str">
        <f t="shared" si="11"/>
        <v xml:space="preserve"> </v>
      </c>
      <c r="F53"/>
      <c r="G53"/>
      <c r="H53"/>
      <c r="I53"/>
      <c r="K53" s="45"/>
      <c r="L53" s="46"/>
      <c r="M53" s="46"/>
      <c r="N53" s="47"/>
      <c r="O53" s="46"/>
      <c r="P53" s="45"/>
      <c r="Q53" s="45"/>
      <c r="R53" s="45"/>
      <c r="S53" s="47"/>
      <c r="U53" s="51"/>
    </row>
    <row r="54" spans="1:21" hidden="1" x14ac:dyDescent="0.2">
      <c r="A54" s="16"/>
      <c r="B54" s="12"/>
      <c r="C54" s="12"/>
      <c r="D54" s="12" t="str">
        <f t="shared" si="10"/>
        <v xml:space="preserve"> </v>
      </c>
      <c r="E54" s="19" t="str">
        <f t="shared" si="11"/>
        <v xml:space="preserve"> </v>
      </c>
      <c r="F54"/>
      <c r="G54"/>
      <c r="H54"/>
      <c r="I54"/>
      <c r="K54" s="45"/>
      <c r="L54" s="46"/>
      <c r="M54" s="46"/>
      <c r="N54" s="47"/>
      <c r="O54" s="46"/>
      <c r="P54" s="45"/>
      <c r="Q54" s="45"/>
      <c r="R54" s="45"/>
      <c r="S54" s="47"/>
      <c r="U54" s="51"/>
    </row>
    <row r="55" spans="1:21" ht="13.5" thickBot="1" x14ac:dyDescent="0.25">
      <c r="A55" s="20" t="s">
        <v>19</v>
      </c>
      <c r="B55" s="22">
        <f>SUM(B41:B54)</f>
        <v>1591616838.0900002</v>
      </c>
      <c r="C55" s="22">
        <f>SUM(C41:C54)</f>
        <v>1454801329.05</v>
      </c>
      <c r="D55" s="22">
        <f>SUM(D41:D54)</f>
        <v>136815509.04000008</v>
      </c>
      <c r="E55" s="23">
        <f>IF(ISERR(D55/C55), " ",D55/C55)</f>
        <v>9.4044118814039027E-2</v>
      </c>
      <c r="F55"/>
      <c r="G55"/>
      <c r="H55"/>
      <c r="I55"/>
      <c r="K55" s="56" t="s">
        <v>63</v>
      </c>
      <c r="L55" s="46">
        <f t="shared" ref="L55:Q55" si="13">SUM(L41:L54)</f>
        <v>1454801329.05</v>
      </c>
      <c r="M55" s="46">
        <f t="shared" si="13"/>
        <v>334480323.40999997</v>
      </c>
      <c r="N55" s="46">
        <f t="shared" si="13"/>
        <v>107928138.34999999</v>
      </c>
      <c r="O55" s="46">
        <f t="shared" si="13"/>
        <v>856939085.95000005</v>
      </c>
      <c r="P55" s="46">
        <f t="shared" si="13"/>
        <v>129721807.59999999</v>
      </c>
      <c r="Q55" s="46">
        <f t="shared" si="13"/>
        <v>25728492.289999999</v>
      </c>
      <c r="R55" s="46">
        <f>SUM(R42:R54)</f>
        <v>136818990.49000001</v>
      </c>
      <c r="S55" s="47">
        <f>SUM(M55:R55)</f>
        <v>1591616838.0899999</v>
      </c>
      <c r="T55" s="51"/>
    </row>
    <row r="56" spans="1:21" x14ac:dyDescent="0.2">
      <c r="A56" s="58" t="s">
        <v>66</v>
      </c>
      <c r="B56" s="59">
        <f>L55</f>
        <v>1454801329.05</v>
      </c>
      <c r="C56" s="59">
        <f>+'[1]Realignment 12-13 (2)'!B56</f>
        <v>1340720844.54</v>
      </c>
      <c r="D56" s="59">
        <f>B56-C56</f>
        <v>114080484.50999999</v>
      </c>
      <c r="E56" s="60">
        <f>D56/C56</f>
        <v>8.5088916887199509E-2</v>
      </c>
      <c r="F56"/>
      <c r="G56" s="48"/>
      <c r="H56"/>
      <c r="I56"/>
      <c r="K56" s="45"/>
      <c r="T56" s="56"/>
    </row>
    <row r="57" spans="1:21" x14ac:dyDescent="0.2">
      <c r="A57" s="58" t="s">
        <v>67</v>
      </c>
      <c r="B57" s="60">
        <f>B55/B56</f>
        <v>1.0940441188140391</v>
      </c>
      <c r="C57" s="60">
        <f>C55/C56</f>
        <v>1.0850889168871996</v>
      </c>
      <c r="D57" s="59"/>
      <c r="E57" s="60"/>
      <c r="F57" s="86"/>
      <c r="G57" s="87"/>
      <c r="H57"/>
      <c r="I57"/>
      <c r="M57" s="88" t="s">
        <v>57</v>
      </c>
      <c r="N57" s="89" t="s">
        <v>58</v>
      </c>
      <c r="O57" s="89" t="s">
        <v>59</v>
      </c>
      <c r="P57" s="89" t="s">
        <v>60</v>
      </c>
      <c r="Q57" s="45" t="s">
        <v>61</v>
      </c>
      <c r="R57" s="89" t="s">
        <v>62</v>
      </c>
      <c r="S57" s="89" t="s">
        <v>63</v>
      </c>
    </row>
    <row r="58" spans="1:21" x14ac:dyDescent="0.2">
      <c r="B58" s="78"/>
      <c r="K58" s="90"/>
      <c r="L58" s="45" t="s">
        <v>68</v>
      </c>
      <c r="M58" s="56">
        <f>M55/($S$55-$R$55)</f>
        <v>0.2299153273850362</v>
      </c>
      <c r="N58" s="56">
        <f>N55/($S$55-$R$55)</f>
        <v>7.4187722045403443E-2</v>
      </c>
      <c r="O58" s="56">
        <f>O55/($S$55-$R$55)</f>
        <v>0.58904341064547505</v>
      </c>
      <c r="P58" s="56">
        <f>P55/($S$55-$R$55)</f>
        <v>8.9168270226687413E-2</v>
      </c>
      <c r="Q58" s="56"/>
      <c r="R58" s="56">
        <v>0</v>
      </c>
      <c r="S58" s="56">
        <f t="shared" ref="S58:S65" si="14">SUM(M58:R58)</f>
        <v>0.98231473030260208</v>
      </c>
    </row>
    <row r="59" spans="1:21" x14ac:dyDescent="0.2">
      <c r="B59" s="78"/>
      <c r="K59" s="90"/>
      <c r="L59" s="65" t="s">
        <v>69</v>
      </c>
      <c r="M59" s="66">
        <f>M62-M58</f>
        <v>-1.0827117406749992E-2</v>
      </c>
      <c r="N59" s="66">
        <f>N62-N58</f>
        <v>-1.6958620819698539E-3</v>
      </c>
      <c r="O59" s="66">
        <f>O62-O58</f>
        <v>8.1384839388090824E-2</v>
      </c>
      <c r="P59" s="66">
        <f>P62-P58</f>
        <v>-5.117659020197305E-2</v>
      </c>
      <c r="Q59" s="66"/>
      <c r="R59" s="66">
        <f>R62-R58</f>
        <v>0</v>
      </c>
      <c r="S59" s="66">
        <f t="shared" si="14"/>
        <v>1.7685269697397928E-2</v>
      </c>
    </row>
    <row r="60" spans="1:21" x14ac:dyDescent="0.2">
      <c r="B60" s="78"/>
      <c r="K60" s="90"/>
      <c r="L60" s="45" t="s">
        <v>85</v>
      </c>
      <c r="M60" s="56">
        <f t="shared" ref="M60:Q69" si="15">M41/$S41</f>
        <v>0.21908820999317627</v>
      </c>
      <c r="N60" s="56">
        <f t="shared" si="15"/>
        <v>7.24918599793484E-2</v>
      </c>
      <c r="O60" s="56">
        <f t="shared" si="15"/>
        <v>0.67042825002038819</v>
      </c>
      <c r="P60" s="56">
        <f t="shared" si="15"/>
        <v>3.7991680007087032E-2</v>
      </c>
      <c r="Q60" s="56"/>
      <c r="R60" s="56">
        <f t="shared" ref="R60:R69" si="16">R41/$S41</f>
        <v>0</v>
      </c>
      <c r="S60" s="56">
        <f t="shared" si="14"/>
        <v>0.99999999999999989</v>
      </c>
    </row>
    <row r="61" spans="1:21" x14ac:dyDescent="0.2">
      <c r="B61" s="78"/>
      <c r="K61" s="90"/>
      <c r="L61" s="45" t="s">
        <v>70</v>
      </c>
      <c r="M61" s="56">
        <f t="shared" si="15"/>
        <v>0.21908820998389933</v>
      </c>
      <c r="N61" s="56">
        <f t="shared" si="15"/>
        <v>7.2491860009085418E-2</v>
      </c>
      <c r="O61" s="56">
        <f t="shared" si="15"/>
        <v>0.67042825002319129</v>
      </c>
      <c r="P61" s="56">
        <f t="shared" si="15"/>
        <v>3.7991679983824057E-2</v>
      </c>
      <c r="Q61" s="56"/>
      <c r="R61" s="56">
        <f t="shared" si="16"/>
        <v>0</v>
      </c>
      <c r="S61" s="56">
        <f t="shared" si="14"/>
        <v>1</v>
      </c>
    </row>
    <row r="62" spans="1:21" x14ac:dyDescent="0.2">
      <c r="B62" s="78"/>
      <c r="K62" s="90"/>
      <c r="L62" s="45" t="s">
        <v>71</v>
      </c>
      <c r="M62" s="56">
        <f t="shared" si="15"/>
        <v>0.21908820997828621</v>
      </c>
      <c r="N62" s="56">
        <f t="shared" si="15"/>
        <v>7.2491859963433589E-2</v>
      </c>
      <c r="O62" s="56">
        <f t="shared" si="15"/>
        <v>0.67042825003356588</v>
      </c>
      <c r="P62" s="56">
        <f t="shared" si="15"/>
        <v>3.7991680024714362E-2</v>
      </c>
      <c r="Q62" s="56"/>
      <c r="R62" s="56">
        <f t="shared" si="16"/>
        <v>0</v>
      </c>
      <c r="S62" s="56">
        <f t="shared" si="14"/>
        <v>1</v>
      </c>
    </row>
    <row r="63" spans="1:21" x14ac:dyDescent="0.2">
      <c r="B63" s="78"/>
      <c r="K63" s="90"/>
      <c r="L63" s="45" t="s">
        <v>73</v>
      </c>
      <c r="M63" s="56">
        <f t="shared" si="15"/>
        <v>0.20253754997589804</v>
      </c>
      <c r="N63" s="56">
        <f t="shared" si="15"/>
        <v>7.8075500024211306E-2</v>
      </c>
      <c r="O63" s="56">
        <f t="shared" si="15"/>
        <v>0.67601678000559828</v>
      </c>
      <c r="P63" s="56">
        <f t="shared" si="15"/>
        <v>4.3370169994292322E-2</v>
      </c>
      <c r="Q63" s="56"/>
      <c r="R63" s="56">
        <f t="shared" si="16"/>
        <v>0</v>
      </c>
      <c r="S63" s="56">
        <f t="shared" si="14"/>
        <v>1</v>
      </c>
    </row>
    <row r="64" spans="1:21" x14ac:dyDescent="0.2">
      <c r="B64" s="78"/>
      <c r="K64" s="90"/>
      <c r="L64" s="45" t="s">
        <v>75</v>
      </c>
      <c r="M64" s="56">
        <f t="shared" si="15"/>
        <v>0.23915627997058772</v>
      </c>
      <c r="N64" s="56">
        <f t="shared" si="15"/>
        <v>7.449035004714212E-2</v>
      </c>
      <c r="O64" s="56">
        <f t="shared" si="15"/>
        <v>0.64497471998555256</v>
      </c>
      <c r="P64" s="56">
        <f t="shared" si="15"/>
        <v>4.1378649996717663E-2</v>
      </c>
      <c r="Q64" s="56"/>
      <c r="R64" s="56">
        <f t="shared" si="16"/>
        <v>0</v>
      </c>
      <c r="S64" s="56">
        <f t="shared" si="14"/>
        <v>1</v>
      </c>
    </row>
    <row r="65" spans="2:20" x14ac:dyDescent="0.2">
      <c r="B65" s="78"/>
      <c r="K65" s="90"/>
      <c r="L65" s="45" t="s">
        <v>77</v>
      </c>
      <c r="M65" s="56">
        <f t="shared" si="15"/>
        <v>0.23868730999824381</v>
      </c>
      <c r="N65" s="56">
        <f t="shared" si="15"/>
        <v>7.4344266214993807E-2</v>
      </c>
      <c r="O65" s="56">
        <f t="shared" si="15"/>
        <v>0.51043261860848266</v>
      </c>
      <c r="P65" s="56">
        <f t="shared" si="15"/>
        <v>4.1297507413633847E-2</v>
      </c>
      <c r="Q65" s="56">
        <f t="shared" si="15"/>
        <v>0.13523829776464574</v>
      </c>
      <c r="R65" s="56">
        <f t="shared" si="16"/>
        <v>0</v>
      </c>
      <c r="S65" s="56">
        <f t="shared" si="14"/>
        <v>0.99999999999999978</v>
      </c>
    </row>
    <row r="66" spans="2:20" x14ac:dyDescent="0.2">
      <c r="B66" s="78"/>
      <c r="K66" s="90"/>
      <c r="L66" s="45" t="s">
        <v>79</v>
      </c>
      <c r="M66" s="56">
        <f t="shared" si="15"/>
        <v>0.23926408189688789</v>
      </c>
      <c r="N66" s="56">
        <f t="shared" si="15"/>
        <v>7.45239186568811E-2</v>
      </c>
      <c r="O66" s="56">
        <f t="shared" si="15"/>
        <v>0.59564908732444954</v>
      </c>
      <c r="P66" s="56">
        <f t="shared" si="15"/>
        <v>4.1397303595589671E-2</v>
      </c>
      <c r="Q66" s="56">
        <f t="shared" si="15"/>
        <v>4.9165608526191694E-2</v>
      </c>
      <c r="R66" s="56">
        <f t="shared" si="16"/>
        <v>0</v>
      </c>
      <c r="S66" s="56">
        <f t="shared" ref="S66:S72" si="17">SUM(M66:R66)</f>
        <v>0.99999999999999989</v>
      </c>
    </row>
    <row r="67" spans="2:20" x14ac:dyDescent="0.2">
      <c r="B67" s="78"/>
      <c r="K67" s="90"/>
      <c r="L67" s="45" t="s">
        <v>81</v>
      </c>
      <c r="M67" s="56">
        <f t="shared" si="15"/>
        <v>0.23926404001047058</v>
      </c>
      <c r="N67" s="56">
        <f t="shared" si="15"/>
        <v>7.4523905577809343E-2</v>
      </c>
      <c r="O67" s="56">
        <f t="shared" si="15"/>
        <v>0.49270502542468186</v>
      </c>
      <c r="P67" s="56">
        <f t="shared" si="15"/>
        <v>0.19350702898703825</v>
      </c>
      <c r="Q67" s="56">
        <f t="shared" si="15"/>
        <v>0</v>
      </c>
      <c r="R67" s="56">
        <f t="shared" si="16"/>
        <v>0</v>
      </c>
      <c r="S67" s="56">
        <f t="shared" si="17"/>
        <v>1</v>
      </c>
    </row>
    <row r="68" spans="2:20" x14ac:dyDescent="0.2">
      <c r="B68" s="78"/>
      <c r="K68" s="90"/>
      <c r="L68" s="45" t="s">
        <v>82</v>
      </c>
      <c r="M68" s="56">
        <f t="shared" si="15"/>
        <v>0.23926093997097209</v>
      </c>
      <c r="N68" s="56">
        <f t="shared" si="15"/>
        <v>7.4522940032238361E-2</v>
      </c>
      <c r="O68" s="56">
        <f t="shared" si="15"/>
        <v>0.49239243936017391</v>
      </c>
      <c r="P68" s="56">
        <f t="shared" si="15"/>
        <v>0.19382368063661573</v>
      </c>
      <c r="Q68" s="56">
        <f t="shared" si="15"/>
        <v>0</v>
      </c>
      <c r="R68" s="56">
        <f t="shared" si="16"/>
        <v>0</v>
      </c>
      <c r="S68" s="56">
        <f t="shared" si="17"/>
        <v>1.0000000000000002</v>
      </c>
    </row>
    <row r="69" spans="2:20" x14ac:dyDescent="0.2">
      <c r="B69" s="78"/>
      <c r="K69" s="90"/>
      <c r="L69" s="45" t="s">
        <v>15</v>
      </c>
      <c r="M69" s="56">
        <f t="shared" si="15"/>
        <v>0.23926093996363579</v>
      </c>
      <c r="N69" s="56">
        <f t="shared" si="15"/>
        <v>7.4522940075264499E-2</v>
      </c>
      <c r="O69" s="56">
        <f t="shared" si="15"/>
        <v>0.56359427569000076</v>
      </c>
      <c r="P69" s="56">
        <f t="shared" si="15"/>
        <v>0.1226218442710989</v>
      </c>
      <c r="Q69" s="56">
        <f t="shared" si="15"/>
        <v>0</v>
      </c>
      <c r="R69" s="56">
        <f t="shared" si="16"/>
        <v>0</v>
      </c>
      <c r="S69" s="56">
        <f t="shared" si="17"/>
        <v>1</v>
      </c>
    </row>
    <row r="70" spans="2:20" x14ac:dyDescent="0.2">
      <c r="B70" s="78"/>
      <c r="K70" s="90"/>
      <c r="L70" s="45" t="s">
        <v>88</v>
      </c>
      <c r="M70" s="56">
        <f>+M51/(SUM($M$51:$P$51))</f>
        <v>0.23926094192697087</v>
      </c>
      <c r="N70" s="56">
        <f>+N51/(SUM($M$51:$P$51))</f>
        <v>7.4522941583679364E-2</v>
      </c>
      <c r="O70" s="56">
        <f>+O51/(SUM($M$51:$P$51))</f>
        <v>0.45499592718707421</v>
      </c>
      <c r="P70" s="56">
        <f>+P51/(SUM($M$51:$P$51))</f>
        <v>0.23122018930227542</v>
      </c>
      <c r="Q70" s="56">
        <f>+Q51/(SUM($M$51:$P$51))</f>
        <v>0</v>
      </c>
      <c r="R70" s="56">
        <v>0</v>
      </c>
      <c r="S70" s="56">
        <f t="shared" si="17"/>
        <v>0.99999999999999978</v>
      </c>
    </row>
    <row r="71" spans="2:20" x14ac:dyDescent="0.2">
      <c r="B71" s="78"/>
      <c r="K71" s="90"/>
      <c r="L71" s="45" t="s">
        <v>89</v>
      </c>
      <c r="M71" s="56">
        <f t="shared" ref="M71:R72" si="18">M51/$S51</f>
        <v>0.17240278782677529</v>
      </c>
      <c r="N71" s="56">
        <f t="shared" si="18"/>
        <v>5.3698538435077298E-2</v>
      </c>
      <c r="O71" s="56">
        <f t="shared" si="18"/>
        <v>0.32785362151095654</v>
      </c>
      <c r="P71" s="56">
        <f t="shared" si="18"/>
        <v>0.16660891207940789</v>
      </c>
      <c r="Q71" s="56">
        <f t="shared" si="18"/>
        <v>0</v>
      </c>
      <c r="R71" s="56">
        <f t="shared" si="18"/>
        <v>0.27943614014778284</v>
      </c>
      <c r="S71" s="56">
        <f t="shared" si="17"/>
        <v>0.99999999999999989</v>
      </c>
    </row>
    <row r="72" spans="2:20" x14ac:dyDescent="0.2">
      <c r="B72" s="78"/>
      <c r="K72" s="90"/>
      <c r="L72" s="45" t="s">
        <v>90</v>
      </c>
      <c r="M72" s="56">
        <f t="shared" si="18"/>
        <v>0</v>
      </c>
      <c r="N72" s="56">
        <f t="shared" si="18"/>
        <v>0</v>
      </c>
      <c r="O72" s="56">
        <f t="shared" si="18"/>
        <v>0</v>
      </c>
      <c r="P72" s="56">
        <f t="shared" si="18"/>
        <v>0</v>
      </c>
      <c r="Q72" s="56">
        <f t="shared" si="18"/>
        <v>0</v>
      </c>
      <c r="R72" s="56">
        <f>+R52/$S$52</f>
        <v>1</v>
      </c>
      <c r="S72" s="56">
        <f t="shared" si="17"/>
        <v>1</v>
      </c>
    </row>
    <row r="73" spans="2:20" x14ac:dyDescent="0.2">
      <c r="B73" s="91"/>
    </row>
    <row r="74" spans="2:20" x14ac:dyDescent="0.2">
      <c r="K74" s="79" t="s">
        <v>91</v>
      </c>
    </row>
    <row r="75" spans="2:20" x14ac:dyDescent="0.2">
      <c r="B75" s="78"/>
      <c r="L75" s="101" t="s">
        <v>92</v>
      </c>
      <c r="M75" s="101"/>
      <c r="N75" s="101"/>
      <c r="O75" s="101" t="s">
        <v>93</v>
      </c>
      <c r="P75" s="101"/>
      <c r="Q75" s="101"/>
    </row>
    <row r="76" spans="2:20" x14ac:dyDescent="0.2">
      <c r="L76" s="88" t="s">
        <v>57</v>
      </c>
      <c r="M76" s="89" t="s">
        <v>59</v>
      </c>
      <c r="N76" s="89" t="s">
        <v>60</v>
      </c>
      <c r="O76" s="88" t="s">
        <v>57</v>
      </c>
      <c r="P76" s="89" t="s">
        <v>59</v>
      </c>
      <c r="Q76" s="89" t="s">
        <v>60</v>
      </c>
      <c r="R76" s="89" t="s">
        <v>94</v>
      </c>
      <c r="S76" s="89" t="s">
        <v>63</v>
      </c>
    </row>
    <row r="77" spans="2:20" x14ac:dyDescent="0.2">
      <c r="B77" s="64"/>
      <c r="K77" s="92" t="s">
        <v>95</v>
      </c>
      <c r="L77" s="49">
        <v>721764244.63999999</v>
      </c>
      <c r="M77" s="49">
        <v>360531589.50999999</v>
      </c>
      <c r="N77" s="49">
        <v>1788745672.6800001</v>
      </c>
      <c r="O77" s="49">
        <v>334480323.41000003</v>
      </c>
      <c r="P77" s="49">
        <v>953449108.09000003</v>
      </c>
      <c r="Q77" s="49">
        <v>58943759.200000003</v>
      </c>
      <c r="R77" s="49">
        <v>14000000</v>
      </c>
      <c r="S77" s="49">
        <f>SUM(L77:R77)</f>
        <v>4231914697.5299997</v>
      </c>
      <c r="T77" s="51"/>
    </row>
    <row r="78" spans="2:20" x14ac:dyDescent="0.2">
      <c r="K78" s="93" t="s">
        <v>96</v>
      </c>
      <c r="L78" s="46">
        <f>+M20</f>
        <v>721764244.67000008</v>
      </c>
      <c r="M78" s="46">
        <f>+O20</f>
        <v>172288242.28</v>
      </c>
      <c r="N78" s="46">
        <f>+P20</f>
        <v>1717967624.2799997</v>
      </c>
      <c r="O78" s="46">
        <f>+M55</f>
        <v>334480323.40999997</v>
      </c>
      <c r="P78" s="46">
        <f>+O55</f>
        <v>856939085.95000005</v>
      </c>
      <c r="Q78" s="46">
        <f>+P55</f>
        <v>129721807.59999999</v>
      </c>
      <c r="R78" s="46">
        <v>14000000</v>
      </c>
      <c r="S78" s="46">
        <f>SUM(L78:R78)</f>
        <v>3947161328.1899991</v>
      </c>
      <c r="T78" s="51"/>
    </row>
    <row r="79" spans="2:20" ht="13.5" thickBot="1" x14ac:dyDescent="0.25">
      <c r="B79" s="94"/>
      <c r="K79" s="93" t="s">
        <v>97</v>
      </c>
      <c r="L79" s="95">
        <f>+L77-L78</f>
        <v>-3.0000090599060059E-2</v>
      </c>
      <c r="M79" s="95">
        <f t="shared" ref="M79:S79" si="19">+M77-M78</f>
        <v>188243347.22999999</v>
      </c>
      <c r="N79" s="95">
        <f t="shared" si="19"/>
        <v>70778048.400000334</v>
      </c>
      <c r="O79" s="95">
        <f t="shared" si="19"/>
        <v>0</v>
      </c>
      <c r="P79" s="95">
        <f t="shared" si="19"/>
        <v>96510022.139999986</v>
      </c>
      <c r="Q79" s="95">
        <f t="shared" si="19"/>
        <v>-70778048.399999991</v>
      </c>
      <c r="R79" s="95">
        <f t="shared" si="19"/>
        <v>0</v>
      </c>
      <c r="S79" s="95">
        <f t="shared" si="19"/>
        <v>284753369.34000063</v>
      </c>
      <c r="T79" s="51"/>
    </row>
    <row r="80" spans="2:20" ht="13.5" thickTop="1" x14ac:dyDescent="0.2">
      <c r="K80" s="93" t="s">
        <v>98</v>
      </c>
      <c r="L80" s="46">
        <f>L78</f>
        <v>721764244.67000008</v>
      </c>
      <c r="M80" s="46">
        <v>348217206.52999997</v>
      </c>
      <c r="N80" s="46">
        <v>1728128134.6400001</v>
      </c>
      <c r="O80" s="46">
        <f>O78</f>
        <v>334480323.40999997</v>
      </c>
      <c r="P80" s="46">
        <v>953449108.09000003</v>
      </c>
      <c r="Q80" s="46">
        <v>58943759.200000003</v>
      </c>
      <c r="R80" s="46">
        <f>R78</f>
        <v>14000000</v>
      </c>
      <c r="S80" s="46">
        <f>SUM(L80:R80)</f>
        <v>4158982776.54</v>
      </c>
    </row>
    <row r="81" spans="11:20" ht="13.5" thickBot="1" x14ac:dyDescent="0.25">
      <c r="K81" s="93" t="s">
        <v>97</v>
      </c>
      <c r="L81" s="95">
        <f>+L77-L80</f>
        <v>-3.0000090599060059E-2</v>
      </c>
      <c r="M81" s="95">
        <f t="shared" ref="M81:R81" si="20">+M77-M80</f>
        <v>12314382.980000019</v>
      </c>
      <c r="N81" s="95">
        <f t="shared" si="20"/>
        <v>60617538.039999962</v>
      </c>
      <c r="O81" s="95">
        <f t="shared" si="20"/>
        <v>0</v>
      </c>
      <c r="P81" s="95">
        <f t="shared" si="20"/>
        <v>0</v>
      </c>
      <c r="Q81" s="95">
        <f t="shared" si="20"/>
        <v>0</v>
      </c>
      <c r="R81" s="95">
        <f t="shared" si="20"/>
        <v>0</v>
      </c>
      <c r="S81" s="95">
        <f>SUM(L81:R81)</f>
        <v>72931920.98999989</v>
      </c>
    </row>
    <row r="82" spans="11:20" ht="13.5" thickTop="1" x14ac:dyDescent="0.2">
      <c r="L82" s="96">
        <f t="shared" ref="L82:S82" si="21">L80/L77</f>
        <v>1.000000000041565</v>
      </c>
      <c r="M82" s="96">
        <f t="shared" si="21"/>
        <v>0.96584381691286314</v>
      </c>
      <c r="N82" s="96">
        <f t="shared" si="21"/>
        <v>0.96611170667477875</v>
      </c>
      <c r="O82" s="96">
        <f t="shared" si="21"/>
        <v>0.99999999999999978</v>
      </c>
      <c r="P82" s="96">
        <f t="shared" si="21"/>
        <v>1</v>
      </c>
      <c r="Q82" s="96">
        <f t="shared" si="21"/>
        <v>1</v>
      </c>
      <c r="R82" s="96">
        <f t="shared" si="21"/>
        <v>1</v>
      </c>
      <c r="S82" s="96">
        <f t="shared" si="21"/>
        <v>0.98276621193887315</v>
      </c>
      <c r="T82" s="51"/>
    </row>
    <row r="96" spans="11:20" hidden="1" x14ac:dyDescent="0.2"/>
  </sheetData>
  <mergeCells count="6">
    <mergeCell ref="O75:Q75"/>
    <mergeCell ref="A1:E1"/>
    <mergeCell ref="A2:E2"/>
    <mergeCell ref="A5:E5"/>
    <mergeCell ref="A39:E39"/>
    <mergeCell ref="L75:N75"/>
  </mergeCells>
  <conditionalFormatting sqref="E7:E8">
    <cfRule type="cellIs" dxfId="2" priority="3" stopIfTrue="1" operator="lessThan">
      <formula>0</formula>
    </cfRule>
  </conditionalFormatting>
  <conditionalFormatting sqref="E7:E22 E41:E56">
    <cfRule type="cellIs" dxfId="1" priority="2" stopIfTrue="1" operator="lessThan">
      <formula>0</formula>
    </cfRule>
  </conditionalFormatting>
  <conditionalFormatting sqref="M24:Q24 M59:R59">
    <cfRule type="cellIs" dxfId="0" priority="1" stopIfTrue="1" operator="lessThan">
      <formula>0</formula>
    </cfRule>
  </conditionalFormatting>
  <printOptions horizontalCentered="1"/>
  <pageMargins left="0" right="0" top="0.5" bottom="0.75" header="0.25" footer="0.5"/>
  <pageSetup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Public Safety tax-</vt:lpstr>
      <vt:lpstr>Realignment 13-14</vt:lpstr>
      <vt:lpstr>page0304</vt:lpstr>
      <vt:lpstr>page0809</vt:lpstr>
      <vt:lpstr>'Realignment 13-14'!page1</vt:lpstr>
      <vt:lpstr>'Realignment 13-14'!PAGE2</vt:lpstr>
      <vt:lpstr>'Public Safety tax-'!picture</vt:lpstr>
      <vt:lpstr>'Public Safety tax-'!Print_Area</vt:lpstr>
      <vt:lpstr>'Realignment 13-14'!Print_Area</vt:lpstr>
      <vt:lpstr>'Realignment 13-14'!Print_Titles</vt:lpstr>
    </vt:vector>
  </TitlesOfParts>
  <Company>The County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ardee apostol</dc:creator>
  <cp:lastModifiedBy>ardee apostol</cp:lastModifiedBy>
  <cp:lastPrinted>2014-09-18T23:13:02Z</cp:lastPrinted>
  <dcterms:created xsi:type="dcterms:W3CDTF">2014-09-18T02:03:29Z</dcterms:created>
  <dcterms:modified xsi:type="dcterms:W3CDTF">2014-09-18T23:13:06Z</dcterms:modified>
</cp:coreProperties>
</file>